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11370" windowHeight="6315" activeTab="0"/>
  </bookViews>
  <sheets>
    <sheet name="Round Firebox" sheetId="1" r:id="rId1"/>
    <sheet name="Square Firebox" sheetId="2" r:id="rId2"/>
    <sheet name="Skirts" sheetId="3" r:id="rId3"/>
  </sheets>
  <definedNames/>
  <calcPr fullCalcOnLoad="1"/>
</workbook>
</file>

<file path=xl/sharedStrings.xml><?xml version="1.0" encoding="utf-8"?>
<sst xmlns="http://schemas.openxmlformats.org/spreadsheetml/2006/main" count="215" uniqueCount="67">
  <si>
    <t>Firebox and Pot Gap Calculations</t>
  </si>
  <si>
    <t>18 March 2006</t>
  </si>
  <si>
    <t>C Pemberton-Pigott</t>
  </si>
  <si>
    <t>Blue cells like this can be edited</t>
  </si>
  <si>
    <t>FOR ROUND COMBUSTION CHAMBERS ONLY</t>
  </si>
  <si>
    <t>Enter a mm diameter for the pot in the left column, or else 0.0 in which case it will use the Inches column instead</t>
  </si>
  <si>
    <t>% of chamber area used</t>
  </si>
  <si>
    <t>normally 50 to 70%</t>
  </si>
  <si>
    <t>when calculating gaps</t>
  </si>
  <si>
    <t>The gap+slope are temperature compensated</t>
  </si>
  <si>
    <t>Enter zero</t>
  </si>
  <si>
    <t>Or enter</t>
  </si>
  <si>
    <t>Suggested</t>
  </si>
  <si>
    <t>Temp@</t>
  </si>
  <si>
    <t>Gap</t>
  </si>
  <si>
    <t>Temp@pot</t>
  </si>
  <si>
    <t>Gap under</t>
  </si>
  <si>
    <t>Floor</t>
  </si>
  <si>
    <t>if not using</t>
  </si>
  <si>
    <t>pot size</t>
  </si>
  <si>
    <t>Pot</t>
  </si>
  <si>
    <t>firebox</t>
  </si>
  <si>
    <t>above</t>
  </si>
  <si>
    <t>bottom</t>
  </si>
  <si>
    <t>pot</t>
  </si>
  <si>
    <t>Slope in</t>
  </si>
  <si>
    <t>mm</t>
  </si>
  <si>
    <t>in Inches</t>
  </si>
  <si>
    <t>O.D. mm</t>
  </si>
  <si>
    <t>Firebox dia</t>
  </si>
  <si>
    <t>height</t>
  </si>
  <si>
    <t>top lip</t>
  </si>
  <si>
    <t>corner</t>
  </si>
  <si>
    <t>edge</t>
  </si>
  <si>
    <t>Degrees</t>
  </si>
  <si>
    <t>Pot Diameter</t>
  </si>
  <si>
    <t>The two temperatures to be entered are measured where the gases enter the gap between the top of the combustion chamber and the pot</t>
  </si>
  <si>
    <t>and where the gases exit from under the outside diameter of the pot.  Most heat transfer not taking place directly above the combustion</t>
  </si>
  <si>
    <t>chamber takes place between these two points.  The cooling of the gases causes them to shrink in volume.  Maintaining the correct gap</t>
  </si>
  <si>
    <t>compensates for this and keeps the gas velocity constant.</t>
  </si>
  <si>
    <t>"% of chamber area used" is found by experience, and delivers an excess air ratio of not more than 400% and not less than 25% during use.</t>
  </si>
  <si>
    <t>FOR SQUARE COMBUSTION CHAMBERS ONLY</t>
  </si>
  <si>
    <t>Gap above</t>
  </si>
  <si>
    <t>centerline</t>
  </si>
  <si>
    <t>of firebox</t>
  </si>
  <si>
    <t>square size</t>
  </si>
  <si>
    <t>wall</t>
  </si>
  <si>
    <t>Pot Corner and Skirt Gap Calculations</t>
  </si>
  <si>
    <t>Gas temperature compensated dimensions for constructing round stove tops</t>
  </si>
  <si>
    <t xml:space="preserve">     These dimensions are temperature compensated</t>
  </si>
  <si>
    <t>Temperature</t>
  </si>
  <si>
    <t>Enter</t>
  </si>
  <si>
    <t>Skirt wall</t>
  </si>
  <si>
    <t>at firebox</t>
  </si>
  <si>
    <t>at bottom</t>
  </si>
  <si>
    <t>at exit from</t>
  </si>
  <si>
    <t>Skirt dia</t>
  </si>
  <si>
    <t>Height of</t>
  </si>
  <si>
    <t>slope in</t>
  </si>
  <si>
    <t>top of skirt</t>
  </si>
  <si>
    <t>at the top</t>
  </si>
  <si>
    <t>skirt, mm</t>
  </si>
  <si>
    <t>degrees</t>
  </si>
  <si>
    <t>The three temperatures to be entered are measured where the gases enter the gap between the top of the combustion chamber and the pot,</t>
  </si>
  <si>
    <t>where the gases exit from under the outside diameter of the pot and where they exit the top of the skirt.  Most heat transfer not taking place</t>
  </si>
  <si>
    <t>directly above the combustion chamber takes place between the first two points.  The cooling of the gases causes them to shrink in volume.</t>
  </si>
  <si>
    <t>Maintaining the correct gap compensates for this and keeps the gas velocity constant.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</si>
</sst>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#,##0.0"/>
  </numFmts>
  <fonts count="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>
        <color indexed="9"/>
      </right>
      <top style="thin">
        <color indexed="63"/>
      </top>
      <bottom style="thin">
        <color indexed="63"/>
      </bottom>
    </border>
    <border>
      <left>
        <color indexed="9"/>
      </left>
      <right>
        <color indexed="9"/>
      </right>
      <top style="thin">
        <color indexed="63"/>
      </top>
      <bottom style="thin">
        <color indexed="63"/>
      </bottom>
    </border>
    <border>
      <left style="thick">
        <color indexed="63"/>
      </left>
      <right>
        <color indexed="9"/>
      </right>
      <top>
        <color indexed="9"/>
      </top>
      <bottom>
        <color indexed="9"/>
      </bottom>
    </border>
    <border>
      <left style="thick">
        <color indexed="63"/>
      </left>
      <right>
        <color indexed="9"/>
      </right>
      <top>
        <color indexed="9"/>
      </top>
      <bottom style="thick">
        <color indexed="63"/>
      </bottom>
    </border>
    <border>
      <left>
        <color indexed="9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>
        <color indexed="9"/>
      </right>
      <top style="thick">
        <color indexed="63"/>
      </top>
      <bottom>
        <color indexed="9"/>
      </bottom>
    </border>
    <border>
      <left>
        <color indexed="9"/>
      </left>
      <right>
        <color indexed="9"/>
      </right>
      <top>
        <color indexed="9"/>
      </top>
      <bottom style="thick">
        <color indexed="63"/>
      </bottom>
    </border>
    <border>
      <left>
        <color indexed="9"/>
      </left>
      <right style="thick">
        <color indexed="63"/>
      </right>
      <top>
        <color indexed="9"/>
      </top>
      <bottom>
        <color indexed="9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ck">
        <color indexed="63"/>
      </right>
      <top>
        <color indexed="9"/>
      </top>
      <bottom style="thick">
        <color indexed="63"/>
      </bottom>
    </border>
    <border>
      <left>
        <color indexed="9"/>
      </left>
      <right style="thick">
        <color indexed="63"/>
      </right>
      <top style="thick">
        <color indexed="63"/>
      </top>
      <bottom>
        <color indexed="9"/>
      </bottom>
    </border>
    <border>
      <left style="thin">
        <color indexed="63"/>
      </left>
      <right>
        <color indexed="9"/>
      </right>
      <top>
        <color indexed="9"/>
      </top>
      <bottom>
        <color indexed="9"/>
      </bottom>
    </border>
    <border>
      <left style="thin">
        <color indexed="63"/>
      </left>
      <right>
        <color indexed="9"/>
      </right>
      <top>
        <color indexed="9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9"/>
      </left>
      <right style="thin">
        <color indexed="63"/>
      </right>
      <top>
        <color indexed="9"/>
      </top>
      <bottom>
        <color indexed="9"/>
      </bottom>
    </border>
    <border>
      <left>
        <color indexed="9"/>
      </left>
      <right style="thin">
        <color indexed="63"/>
      </right>
      <top>
        <color indexed="9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9"/>
      </left>
      <right>
        <color indexed="9"/>
      </right>
      <top>
        <color indexed="9"/>
      </top>
      <bottom style="thin">
        <color indexed="63"/>
      </bottom>
    </border>
    <border>
      <left>
        <color indexed="9"/>
      </left>
      <right style="thick">
        <color indexed="63"/>
      </right>
      <top>
        <color indexed="9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9"/>
      </left>
      <right>
        <color indexed="9"/>
      </right>
      <top style="thick">
        <color indexed="63"/>
      </top>
      <bottom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9"/>
      </left>
      <right>
        <color indexed="9"/>
      </right>
      <top style="thin">
        <color indexed="63"/>
      </top>
      <bottom>
        <color indexed="9"/>
      </bottom>
    </border>
    <border>
      <left>
        <color indexed="9"/>
      </left>
      <right style="thin">
        <color indexed="63"/>
      </right>
      <top style="thin">
        <color indexed="63"/>
      </top>
      <bottom>
        <color indexed="9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ck">
        <color indexed="63"/>
      </left>
      <right>
        <color indexed="9"/>
      </right>
      <top>
        <color indexed="9"/>
      </top>
      <bottom style="thin"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9"/>
      </right>
      <top style="thin">
        <color indexed="63"/>
      </top>
      <bottom>
        <color indexed="9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9"/>
      </left>
      <right>
        <color indexed="9"/>
      </right>
      <top>
        <color indexed="9"/>
      </top>
      <bottom style="thin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20">
    <xf numFmtId="0" fontId="0" fillId="0" borderId="0" xfId="0" applyAlignment="1">
      <alignment/>
    </xf>
    <xf numFmtId="4" fontId="5" fillId="0" borderId="0" xfId="15" applyBorder="1" applyAlignment="1">
      <alignment/>
    </xf>
    <xf numFmtId="4" fontId="0" fillId="0" borderId="0" xfId="15" applyAlignment="1">
      <alignment/>
    </xf>
    <xf numFmtId="4" fontId="0" fillId="0" borderId="0" xfId="15" applyFont="1" applyAlignment="1">
      <alignment horizontal="right"/>
    </xf>
    <xf numFmtId="0" fontId="0" fillId="0" borderId="0" xfId="0" applyFont="1" applyAlignment="1">
      <alignment horizontal="right"/>
    </xf>
    <xf numFmtId="4" fontId="3" fillId="0" borderId="2" xfId="15" applyFill="1" applyBorder="1" applyAlignment="1">
      <alignment/>
    </xf>
    <xf numFmtId="4" fontId="0" fillId="0" borderId="0" xfId="15" applyBorder="1" applyAlignment="1">
      <alignment/>
    </xf>
    <xf numFmtId="172" fontId="0" fillId="0" borderId="0" xfId="15" applyNumberFormat="1" applyAlignment="1">
      <alignment/>
    </xf>
    <xf numFmtId="4" fontId="4" fillId="0" borderId="0" xfId="15" applyBorder="1" applyAlignment="1">
      <alignment/>
    </xf>
    <xf numFmtId="0" fontId="0" fillId="0" borderId="0" xfId="15" applyBorder="1" applyAlignment="1">
      <alignment/>
    </xf>
    <xf numFmtId="1" fontId="0" fillId="2" borderId="3" xfId="15" applyNumberFormat="1" applyFill="1" applyAlignment="1" applyProtection="1">
      <alignment/>
      <protection locked="0"/>
    </xf>
    <xf numFmtId="9" fontId="0" fillId="2" borderId="0" xfId="15" applyNumberFormat="1" applyFill="1" applyAlignment="1" applyProtection="1">
      <alignment/>
      <protection locked="0"/>
    </xf>
    <xf numFmtId="1" fontId="0" fillId="2" borderId="4" xfId="15" applyNumberFormat="1" applyFill="1" applyAlignment="1" applyProtection="1">
      <alignment/>
      <protection locked="0"/>
    </xf>
    <xf numFmtId="1" fontId="0" fillId="2" borderId="5" xfId="15" applyNumberFormat="1" applyFill="1" applyAlignment="1" applyProtection="1">
      <alignment/>
      <protection locked="0"/>
    </xf>
    <xf numFmtId="1" fontId="0" fillId="2" borderId="6" xfId="15" applyNumberFormat="1" applyFill="1" applyAlignment="1" applyProtection="1">
      <alignment/>
      <protection locked="0"/>
    </xf>
    <xf numFmtId="1" fontId="0" fillId="2" borderId="7" xfId="15" applyNumberFormat="1" applyFill="1" applyAlignment="1" applyProtection="1">
      <alignment/>
      <protection locked="0"/>
    </xf>
    <xf numFmtId="173" fontId="0" fillId="0" borderId="0" xfId="16" applyNumberFormat="1" applyFill="1" applyAlignment="1">
      <alignment/>
    </xf>
    <xf numFmtId="172" fontId="0" fillId="0" borderId="0" xfId="15" applyNumberFormat="1" applyFill="1" applyAlignment="1">
      <alignment/>
    </xf>
    <xf numFmtId="0" fontId="0" fillId="0" borderId="0" xfId="0" applyAlignment="1">
      <alignment/>
    </xf>
    <xf numFmtId="0" fontId="0" fillId="0" borderId="0" xfId="15" applyFill="1" applyAlignment="1">
      <alignment/>
    </xf>
    <xf numFmtId="173" fontId="0" fillId="0" borderId="8" xfId="16" applyNumberFormat="1" applyFill="1" applyAlignment="1">
      <alignment/>
    </xf>
    <xf numFmtId="173" fontId="0" fillId="0" borderId="9" xfId="16" applyNumberFormat="1" applyFill="1" applyAlignment="1">
      <alignment/>
    </xf>
    <xf numFmtId="173" fontId="0" fillId="0" borderId="0" xfId="16" applyNumberFormat="1" applyFill="1" applyAlignment="1">
      <alignment/>
    </xf>
    <xf numFmtId="173" fontId="0" fillId="0" borderId="2" xfId="16" applyNumberFormat="1" applyFill="1" applyAlignment="1">
      <alignment/>
    </xf>
    <xf numFmtId="172" fontId="0" fillId="0" borderId="10" xfId="15" applyNumberFormat="1" applyFill="1" applyAlignment="1">
      <alignment/>
    </xf>
    <xf numFmtId="172" fontId="0" fillId="0" borderId="11" xfId="15" applyNumberFormat="1" applyFill="1" applyAlignment="1">
      <alignment/>
    </xf>
    <xf numFmtId="0" fontId="0" fillId="0" borderId="0" xfId="0" applyAlignment="1">
      <alignment/>
    </xf>
    <xf numFmtId="4" fontId="0" fillId="0" borderId="0" xfId="15" applyFont="1" applyBorder="1" applyAlignment="1">
      <alignment horizontal="right"/>
    </xf>
    <xf numFmtId="0" fontId="5" fillId="0" borderId="12" xfId="0" applyFill="1" applyBorder="1" applyAlignment="1">
      <alignment/>
    </xf>
    <xf numFmtId="0" fontId="5" fillId="0" borderId="13" xfId="0" applyFill="1" applyBorder="1" applyAlignment="1">
      <alignment/>
    </xf>
    <xf numFmtId="1" fontId="0" fillId="2" borderId="14" xfId="15" applyNumberFormat="1" applyFill="1" applyAlignment="1" applyProtection="1">
      <alignment/>
      <protection locked="0"/>
    </xf>
    <xf numFmtId="173" fontId="0" fillId="0" borderId="5" xfId="16" applyNumberFormat="1" applyFill="1" applyAlignment="1">
      <alignment/>
    </xf>
    <xf numFmtId="173" fontId="0" fillId="0" borderId="6" xfId="16" applyNumberFormat="1" applyFill="1" applyAlignment="1">
      <alignment/>
    </xf>
    <xf numFmtId="1" fontId="0" fillId="2" borderId="0" xfId="15" applyNumberFormat="1" applyFill="1" applyAlignment="1" applyProtection="1">
      <alignment/>
      <protection locked="0"/>
    </xf>
    <xf numFmtId="173" fontId="0" fillId="0" borderId="14" xfId="16" applyNumberFormat="1" applyFill="1" applyAlignment="1">
      <alignment/>
    </xf>
    <xf numFmtId="172" fontId="0" fillId="0" borderId="14" xfId="15" applyNumberFormat="1" applyFill="1" applyAlignment="1">
      <alignment/>
    </xf>
    <xf numFmtId="172" fontId="0" fillId="0" borderId="0" xfId="0" applyNumberFormat="1" applyAlignment="1">
      <alignment/>
    </xf>
    <xf numFmtId="172" fontId="0" fillId="0" borderId="2" xfId="0" applyNumberFormat="1" applyFill="1" applyAlignment="1">
      <alignment/>
    </xf>
    <xf numFmtId="0" fontId="4" fillId="0" borderId="13" xfId="0" applyFill="1" applyBorder="1" applyAlignment="1">
      <alignment/>
    </xf>
    <xf numFmtId="172" fontId="0" fillId="0" borderId="15" xfId="0" applyNumberFormat="1" applyFill="1" applyAlignment="1">
      <alignment/>
    </xf>
    <xf numFmtId="4" fontId="0" fillId="0" borderId="6" xfId="15" applyFill="1" applyAlignment="1">
      <alignment/>
    </xf>
    <xf numFmtId="0" fontId="4" fillId="0" borderId="12" xfId="0" applyFill="1" applyBorder="1" applyAlignment="1">
      <alignment/>
    </xf>
    <xf numFmtId="0" fontId="0" fillId="0" borderId="14" xfId="0" applyFill="1" applyAlignment="1">
      <alignment/>
    </xf>
    <xf numFmtId="4" fontId="0" fillId="0" borderId="9" xfId="15" applyFill="1" applyAlignment="1">
      <alignment/>
    </xf>
    <xf numFmtId="0" fontId="0" fillId="0" borderId="16" xfId="0" applyFill="1" applyAlignment="1">
      <alignment/>
    </xf>
    <xf numFmtId="0" fontId="0" fillId="0" borderId="2" xfId="0" applyFill="1" applyAlignment="1">
      <alignment/>
    </xf>
    <xf numFmtId="0" fontId="0" fillId="0" borderId="17" xfId="0" applyFill="1" applyAlignment="1">
      <alignment/>
    </xf>
    <xf numFmtId="0" fontId="0" fillId="0" borderId="11" xfId="0" applyFill="1" applyAlignment="1">
      <alignment/>
    </xf>
    <xf numFmtId="172" fontId="0" fillId="0" borderId="18" xfId="0" applyNumberFormat="1" applyFill="1" applyAlignment="1">
      <alignment/>
    </xf>
    <xf numFmtId="4" fontId="3" fillId="0" borderId="14" xfId="15" applyFill="1" applyBorder="1" applyAlignment="1">
      <alignment/>
    </xf>
    <xf numFmtId="0" fontId="0" fillId="0" borderId="19" xfId="0" applyFill="1" applyAlignment="1">
      <alignment/>
    </xf>
    <xf numFmtId="172" fontId="0" fillId="2" borderId="20" xfId="15" applyNumberFormat="1" applyFill="1" applyAlignment="1" applyProtection="1">
      <alignment/>
      <protection locked="0"/>
    </xf>
    <xf numFmtId="172" fontId="0" fillId="2" borderId="21" xfId="15" applyNumberFormat="1" applyFill="1" applyAlignment="1" applyProtection="1">
      <alignment/>
      <protection locked="0"/>
    </xf>
    <xf numFmtId="0" fontId="0" fillId="0" borderId="18" xfId="0" applyFill="1" applyAlignment="1">
      <alignment/>
    </xf>
    <xf numFmtId="4" fontId="0" fillId="0" borderId="0" xfId="15" applyFill="1" applyAlignment="1">
      <alignment/>
    </xf>
    <xf numFmtId="4" fontId="0" fillId="0" borderId="22" xfId="15" applyFill="1" applyAlignment="1">
      <alignment/>
    </xf>
    <xf numFmtId="1" fontId="0" fillId="0" borderId="0" xfId="0" applyNumberFormat="1" applyAlignment="1">
      <alignment/>
    </xf>
    <xf numFmtId="1" fontId="0" fillId="0" borderId="22" xfId="0" applyNumberFormat="1" applyFill="1" applyAlignment="1">
      <alignment/>
    </xf>
    <xf numFmtId="1" fontId="0" fillId="2" borderId="23" xfId="15" applyNumberFormat="1" applyFill="1" applyAlignment="1" applyProtection="1">
      <alignment/>
      <protection locked="0"/>
    </xf>
    <xf numFmtId="1" fontId="0" fillId="2" borderId="24" xfId="15" applyNumberFormat="1" applyFill="1" applyAlignment="1" applyProtection="1">
      <alignment/>
      <protection locked="0"/>
    </xf>
    <xf numFmtId="1" fontId="0" fillId="2" borderId="20" xfId="15" applyNumberFormat="1" applyFill="1" applyAlignment="1" applyProtection="1">
      <alignment/>
      <protection locked="0"/>
    </xf>
    <xf numFmtId="1" fontId="0" fillId="2" borderId="21" xfId="15" applyNumberFormat="1" applyFill="1" applyAlignment="1" applyProtection="1">
      <alignment/>
      <protection locked="0"/>
    </xf>
    <xf numFmtId="4" fontId="0" fillId="0" borderId="25" xfId="15" applyFill="1" applyAlignment="1">
      <alignment/>
    </xf>
    <xf numFmtId="4" fontId="0" fillId="0" borderId="26" xfId="15" applyFill="1" applyAlignment="1">
      <alignment/>
    </xf>
    <xf numFmtId="172" fontId="0" fillId="2" borderId="0" xfId="15" applyNumberFormat="1" applyFill="1" applyAlignment="1" applyProtection="1">
      <alignment/>
      <protection locked="0"/>
    </xf>
    <xf numFmtId="4" fontId="0" fillId="0" borderId="27" xfId="15" applyFill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15" applyFill="1" applyAlignment="1">
      <alignment/>
    </xf>
    <xf numFmtId="0" fontId="0" fillId="0" borderId="28" xfId="0" applyFont="1" applyFill="1" applyAlignment="1">
      <alignment horizontal="center"/>
    </xf>
    <xf numFmtId="0" fontId="0" fillId="0" borderId="29" xfId="0" applyFill="1" applyAlignment="1">
      <alignment horizontal="center"/>
    </xf>
    <xf numFmtId="0" fontId="0" fillId="0" borderId="30" xfId="0" applyFill="1" applyAlignment="1">
      <alignment/>
    </xf>
    <xf numFmtId="1" fontId="0" fillId="2" borderId="31" xfId="15" applyNumberFormat="1" applyFill="1" applyBorder="1" applyAlignment="1" applyProtection="1">
      <alignment/>
      <protection locked="0"/>
    </xf>
    <xf numFmtId="1" fontId="0" fillId="2" borderId="32" xfId="15" applyNumberFormat="1" applyFill="1" applyBorder="1" applyAlignment="1" applyProtection="1">
      <alignment/>
      <protection locked="0"/>
    </xf>
    <xf numFmtId="1" fontId="0" fillId="2" borderId="33" xfId="15" applyNumberFormat="1" applyFill="1" applyBorder="1" applyAlignment="1" applyProtection="1">
      <alignment/>
      <protection locked="0"/>
    </xf>
    <xf numFmtId="0" fontId="0" fillId="0" borderId="34" xfId="0" applyFill="1" applyAlignment="1">
      <alignment horizontal="center"/>
    </xf>
    <xf numFmtId="0" fontId="0" fillId="0" borderId="35" xfId="0" applyFont="1" applyFill="1" applyAlignment="1">
      <alignment horizontal="center"/>
    </xf>
    <xf numFmtId="0" fontId="0" fillId="0" borderId="5" xfId="0" applyFill="1" applyAlignment="1">
      <alignment horizontal="center"/>
    </xf>
    <xf numFmtId="0" fontId="0" fillId="0" borderId="5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36" xfId="0" applyFill="1" applyAlignment="1">
      <alignment horizontal="center"/>
    </xf>
    <xf numFmtId="4" fontId="0" fillId="0" borderId="0" xfId="15" applyFont="1" applyFill="1" applyAlignment="1">
      <alignment horizontal="center"/>
    </xf>
    <xf numFmtId="0" fontId="0" fillId="0" borderId="23" xfId="0" applyFont="1" applyFill="1" applyAlignment="1">
      <alignment horizontal="center"/>
    </xf>
    <xf numFmtId="0" fontId="0" fillId="0" borderId="15" xfId="0" applyFont="1" applyFill="1" applyAlignment="1">
      <alignment horizontal="center"/>
    </xf>
    <xf numFmtId="0" fontId="0" fillId="0" borderId="37" xfId="0" applyFill="1" applyAlignment="1">
      <alignment horizontal="center"/>
    </xf>
    <xf numFmtId="0" fontId="0" fillId="0" borderId="24" xfId="0" applyFont="1" applyFill="1" applyAlignment="1">
      <alignment horizontal="center"/>
    </xf>
    <xf numFmtId="0" fontId="0" fillId="0" borderId="38" xfId="0" applyFont="1" applyFill="1" applyAlignment="1">
      <alignment horizontal="center"/>
    </xf>
    <xf numFmtId="172" fontId="0" fillId="2" borderId="27" xfId="15" applyNumberFormat="1" applyFill="1" applyAlignment="1" applyProtection="1">
      <alignment/>
      <protection locked="0"/>
    </xf>
    <xf numFmtId="1" fontId="0" fillId="0" borderId="27" xfId="0" applyNumberFormat="1" applyFill="1" applyAlignment="1">
      <alignment/>
    </xf>
    <xf numFmtId="0" fontId="0" fillId="0" borderId="27" xfId="0" applyFill="1" applyAlignment="1">
      <alignment/>
    </xf>
    <xf numFmtId="0" fontId="0" fillId="0" borderId="0" xfId="0" applyAlignment="1">
      <alignment horizontal="center"/>
    </xf>
    <xf numFmtId="0" fontId="0" fillId="0" borderId="8" xfId="0" applyFont="1" applyFill="1" applyAlignment="1">
      <alignment horizontal="center"/>
    </xf>
    <xf numFmtId="0" fontId="0" fillId="0" borderId="10" xfId="0" applyFont="1" applyFill="1" applyAlignment="1">
      <alignment horizontal="center"/>
    </xf>
    <xf numFmtId="0" fontId="0" fillId="0" borderId="39" xfId="0" applyFont="1" applyFill="1" applyAlignment="1">
      <alignment horizontal="center"/>
    </xf>
    <xf numFmtId="0" fontId="0" fillId="0" borderId="22" xfId="0" applyFont="1" applyFill="1" applyAlignment="1">
      <alignment horizontal="center"/>
    </xf>
    <xf numFmtId="0" fontId="0" fillId="0" borderId="40" xfId="0" applyFont="1" applyFill="1" applyAlignment="1">
      <alignment horizontal="center"/>
    </xf>
    <xf numFmtId="0" fontId="0" fillId="0" borderId="41" xfId="0" applyFill="1" applyAlignment="1">
      <alignment horizontal="center"/>
    </xf>
    <xf numFmtId="4" fontId="0" fillId="0" borderId="34" xfId="15" applyFill="1" applyAlignment="1">
      <alignment horizontal="center"/>
    </xf>
    <xf numFmtId="0" fontId="0" fillId="0" borderId="34" xfId="0" applyFont="1" applyFill="1" applyAlignment="1">
      <alignment horizontal="center"/>
    </xf>
    <xf numFmtId="0" fontId="0" fillId="0" borderId="42" xfId="0" applyFill="1" applyAlignment="1">
      <alignment horizontal="center"/>
    </xf>
    <xf numFmtId="4" fontId="0" fillId="0" borderId="42" xfId="15" applyFont="1" applyFill="1" applyAlignment="1">
      <alignment horizontal="center"/>
    </xf>
    <xf numFmtId="0" fontId="0" fillId="0" borderId="43" xfId="0" applyFont="1" applyFill="1" applyAlignment="1">
      <alignment horizontal="center"/>
    </xf>
    <xf numFmtId="0" fontId="0" fillId="0" borderId="20" xfId="0" applyFill="1" applyAlignment="1">
      <alignment horizontal="center"/>
    </xf>
    <xf numFmtId="4" fontId="5" fillId="0" borderId="0" xfId="15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15" applyFont="1" applyFill="1" applyAlignment="1">
      <alignment horizontal="center"/>
    </xf>
    <xf numFmtId="0" fontId="0" fillId="0" borderId="0" xfId="15" applyFont="1" applyFill="1" applyAlignment="1">
      <alignment horizontal="center"/>
    </xf>
    <xf numFmtId="0" fontId="0" fillId="0" borderId="25" xfId="0" applyFill="1" applyAlignment="1">
      <alignment horizontal="center"/>
    </xf>
    <xf numFmtId="0" fontId="0" fillId="0" borderId="21" xfId="0" applyFont="1" applyFill="1" applyAlignment="1">
      <alignment horizontal="center"/>
    </xf>
    <xf numFmtId="4" fontId="0" fillId="0" borderId="27" xfId="15" applyFill="1" applyAlignment="1">
      <alignment horizontal="center"/>
    </xf>
    <xf numFmtId="0" fontId="0" fillId="0" borderId="27" xfId="0" applyFont="1" applyFill="1" applyAlignment="1">
      <alignment horizontal="center"/>
    </xf>
    <xf numFmtId="0" fontId="0" fillId="0" borderId="26" xfId="0" applyFont="1" applyFill="1" applyAlignment="1">
      <alignment horizontal="center"/>
    </xf>
    <xf numFmtId="0" fontId="0" fillId="0" borderId="0" xfId="15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Alignment="1">
      <alignment horizontal="center"/>
    </xf>
    <xf numFmtId="0" fontId="0" fillId="0" borderId="8" xfId="0" applyFill="1" applyAlignment="1">
      <alignment horizontal="center"/>
    </xf>
    <xf numFmtId="0" fontId="0" fillId="0" borderId="0" xfId="0" applyFont="1" applyAlignment="1">
      <alignment horizontal="center"/>
    </xf>
    <xf numFmtId="1" fontId="0" fillId="0" borderId="44" xfId="0" applyNumberFormat="1" applyBorder="1" applyAlignment="1">
      <alignment/>
    </xf>
    <xf numFmtId="1" fontId="0" fillId="0" borderId="45" xfId="0" applyNumberFormat="1" applyBorder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5"/>
  <sheetViews>
    <sheetView tabSelected="1" zoomScale="110" zoomScaleNormal="110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10.57421875" style="0" customWidth="1"/>
    <col min="3" max="3" width="12.8515625" style="0" customWidth="1"/>
    <col min="6" max="6" width="10.28125" style="0" customWidth="1"/>
    <col min="7" max="7" width="9.8515625" style="0" customWidth="1"/>
    <col min="9" max="9" width="10.57421875" style="0" customWidth="1"/>
    <col min="10" max="10" width="11.421875" style="0" customWidth="1"/>
    <col min="11" max="11" width="10.140625" style="0" customWidth="1"/>
    <col min="12" max="12" width="10.8515625" style="0" customWidth="1"/>
  </cols>
  <sheetData>
    <row r="1" ht="5.25" customHeight="1"/>
    <row r="2" spans="2:10" ht="18">
      <c r="B2" s="38" t="s">
        <v>0</v>
      </c>
      <c r="C2" s="71"/>
      <c r="D2" s="71"/>
      <c r="E2" s="71"/>
      <c r="F2" s="71"/>
      <c r="G2" s="71"/>
      <c r="H2" s="50"/>
      <c r="I2" s="66"/>
      <c r="J2" s="66"/>
    </row>
    <row r="3" spans="2:10" ht="13.5" thickBot="1">
      <c r="B3" s="40" t="s">
        <v>1</v>
      </c>
      <c r="C3" s="42"/>
      <c r="D3" s="42"/>
      <c r="E3" s="42"/>
      <c r="F3" s="42"/>
      <c r="G3" s="49" t="s">
        <v>2</v>
      </c>
      <c r="H3" s="53"/>
      <c r="I3" s="66"/>
      <c r="J3" s="66"/>
    </row>
    <row r="4" spans="2:10" ht="4.5" customHeight="1" thickBot="1" thickTop="1">
      <c r="B4" s="19"/>
      <c r="C4" s="18"/>
      <c r="D4" s="18"/>
      <c r="E4" s="18"/>
      <c r="F4" s="18"/>
      <c r="G4" s="112"/>
      <c r="H4" s="26"/>
      <c r="I4" s="113"/>
      <c r="J4" s="66"/>
    </row>
    <row r="5" spans="5:9" ht="13.5" thickBot="1">
      <c r="E5" s="72" t="s">
        <v>3</v>
      </c>
      <c r="F5" s="73"/>
      <c r="G5" s="74"/>
      <c r="H5" s="114"/>
      <c r="I5" s="114"/>
    </row>
    <row r="6" spans="3:9" ht="18">
      <c r="C6" s="8" t="s">
        <v>4</v>
      </c>
      <c r="D6" s="2"/>
      <c r="E6" s="114"/>
      <c r="F6" s="114"/>
      <c r="G6" s="114"/>
      <c r="H6" s="114"/>
      <c r="I6" s="114"/>
    </row>
    <row r="7" spans="2:4" ht="12.75">
      <c r="B7" s="6" t="s">
        <v>5</v>
      </c>
      <c r="D7" s="2"/>
    </row>
    <row r="8" spans="3:5" ht="12.75">
      <c r="C8" s="3" t="s">
        <v>6</v>
      </c>
      <c r="D8" s="11">
        <v>0.7</v>
      </c>
      <c r="E8" t="s">
        <v>7</v>
      </c>
    </row>
    <row r="9" ht="12.75">
      <c r="C9" s="4" t="s">
        <v>8</v>
      </c>
    </row>
    <row r="10" spans="9:12" ht="12.75">
      <c r="I10" s="28" t="s">
        <v>9</v>
      </c>
      <c r="J10" s="44"/>
      <c r="K10" s="44"/>
      <c r="L10" s="46"/>
    </row>
    <row r="11" spans="2:12" ht="12.75">
      <c r="B11" s="96" t="s">
        <v>10</v>
      </c>
      <c r="C11" s="97"/>
      <c r="D11" s="98" t="s">
        <v>11</v>
      </c>
      <c r="E11" s="99"/>
      <c r="F11" s="99"/>
      <c r="G11" s="100" t="s">
        <v>12</v>
      </c>
      <c r="H11" s="101" t="s">
        <v>13</v>
      </c>
      <c r="I11" s="116" t="s">
        <v>14</v>
      </c>
      <c r="J11" s="117" t="s">
        <v>15</v>
      </c>
      <c r="K11" s="90" t="s">
        <v>16</v>
      </c>
      <c r="L11" s="115" t="s">
        <v>17</v>
      </c>
    </row>
    <row r="12" spans="2:12" ht="12.75">
      <c r="B12" s="102" t="s">
        <v>18</v>
      </c>
      <c r="C12" s="103"/>
      <c r="D12" s="104" t="s">
        <v>19</v>
      </c>
      <c r="E12" s="117" t="s">
        <v>20</v>
      </c>
      <c r="F12" s="105" t="s">
        <v>12</v>
      </c>
      <c r="G12" s="106" t="s">
        <v>21</v>
      </c>
      <c r="H12" s="107" t="s">
        <v>21</v>
      </c>
      <c r="I12" s="91" t="s">
        <v>22</v>
      </c>
      <c r="J12" s="90" t="s">
        <v>23</v>
      </c>
      <c r="K12" s="117" t="s">
        <v>24</v>
      </c>
      <c r="L12" s="92" t="s">
        <v>25</v>
      </c>
    </row>
    <row r="13" spans="2:12" ht="12.75">
      <c r="B13" s="108" t="s">
        <v>26</v>
      </c>
      <c r="C13" s="109"/>
      <c r="D13" s="110" t="s">
        <v>27</v>
      </c>
      <c r="E13" s="94" t="s">
        <v>28</v>
      </c>
      <c r="F13" s="94" t="s">
        <v>29</v>
      </c>
      <c r="G13" s="94" t="s">
        <v>30</v>
      </c>
      <c r="H13" s="111" t="s">
        <v>31</v>
      </c>
      <c r="I13" s="93" t="s">
        <v>21</v>
      </c>
      <c r="J13" s="94" t="s">
        <v>32</v>
      </c>
      <c r="K13" s="94" t="s">
        <v>33</v>
      </c>
      <c r="L13" s="95" t="s">
        <v>34</v>
      </c>
    </row>
    <row r="14" spans="2:12" ht="12.75">
      <c r="B14" s="51">
        <v>0</v>
      </c>
      <c r="C14" s="54" t="s">
        <v>35</v>
      </c>
      <c r="D14" s="64">
        <v>24</v>
      </c>
      <c r="E14" s="56">
        <f aca="true" t="shared" si="0" ref="E14:E38">IF(B14=0,(D14*25.4),B14)</f>
        <v>609.5999999999999</v>
      </c>
      <c r="F14" s="56">
        <f>SQRT((E14/2)^1.2*30.6)*1.1284</f>
        <v>193.07798968468958</v>
      </c>
      <c r="G14" s="56">
        <f aca="true" t="shared" si="1" ref="G14:G38">(F14*1.34)</f>
        <v>258.72450617748405</v>
      </c>
      <c r="H14" s="58">
        <v>650</v>
      </c>
      <c r="I14" s="20">
        <f aca="true" t="shared" si="2" ref="I14:I38">((F14/2)^2)/F14*$D$8</f>
        <v>33.78864819482068</v>
      </c>
      <c r="J14" s="33">
        <v>350</v>
      </c>
      <c r="K14" s="22">
        <f aca="true" t="shared" si="3" ref="K14:K38">((F14*PI()*((J14+273)/(H14+273)))/(E14*PI()))*I14</f>
        <v>7.223455017173326</v>
      </c>
      <c r="L14" s="24">
        <f>ASIN(+K14/SQRT(K14^2+I14^2))*180/PI()</f>
        <v>12.067242034720973</v>
      </c>
    </row>
    <row r="15" spans="2:12" ht="12.75">
      <c r="B15" s="51">
        <v>0</v>
      </c>
      <c r="C15" s="54" t="s">
        <v>35</v>
      </c>
      <c r="D15" s="64">
        <v>23</v>
      </c>
      <c r="E15" s="56">
        <f t="shared" si="0"/>
        <v>584.1999999999999</v>
      </c>
      <c r="F15" s="56">
        <f aca="true" t="shared" si="4" ref="F15:F38">SQRT((E15/2)^1.2*30.6)*1.1284</f>
        <v>188.21001309162762</v>
      </c>
      <c r="G15" s="56">
        <f t="shared" si="1"/>
        <v>252.20141754278103</v>
      </c>
      <c r="H15" s="58">
        <v>650</v>
      </c>
      <c r="I15" s="20">
        <f t="shared" si="2"/>
        <v>32.93675229103483</v>
      </c>
      <c r="J15" s="33">
        <v>355</v>
      </c>
      <c r="K15" s="22">
        <f t="shared" si="3"/>
        <v>7.219712249533443</v>
      </c>
      <c r="L15" s="24">
        <f>ASIN(+K15/SQRT(K15^2+I15^2))*180/PI()</f>
        <v>12.363651054962276</v>
      </c>
    </row>
    <row r="16" spans="2:12" ht="12.75">
      <c r="B16" s="51">
        <v>0</v>
      </c>
      <c r="C16" s="54" t="s">
        <v>35</v>
      </c>
      <c r="D16" s="64">
        <v>22</v>
      </c>
      <c r="E16" s="56">
        <f t="shared" si="0"/>
        <v>558.8</v>
      </c>
      <c r="F16" s="56">
        <f t="shared" si="4"/>
        <v>183.2566029741307</v>
      </c>
      <c r="G16" s="56">
        <f t="shared" si="1"/>
        <v>245.56384798533514</v>
      </c>
      <c r="H16" s="58">
        <v>650</v>
      </c>
      <c r="I16" s="20">
        <f t="shared" si="2"/>
        <v>32.06990552047287</v>
      </c>
      <c r="J16" s="33">
        <f aca="true" t="shared" si="5" ref="J16:J26">(J15+5)</f>
        <v>360</v>
      </c>
      <c r="K16" s="22">
        <f t="shared" si="3"/>
        <v>7.212783953079989</v>
      </c>
      <c r="L16" s="24">
        <f aca="true" t="shared" si="6" ref="L16:L38">ATAN(K16/I16)*180/PI()</f>
        <v>12.675375772873041</v>
      </c>
    </row>
    <row r="17" spans="2:12" ht="12.75">
      <c r="B17" s="51">
        <v>0</v>
      </c>
      <c r="C17" s="54" t="s">
        <v>35</v>
      </c>
      <c r="D17" s="64">
        <v>21</v>
      </c>
      <c r="E17" s="56">
        <f t="shared" si="0"/>
        <v>533.4</v>
      </c>
      <c r="F17" s="56">
        <f t="shared" si="4"/>
        <v>178.21226918957984</v>
      </c>
      <c r="G17" s="56">
        <f t="shared" si="1"/>
        <v>238.804440714037</v>
      </c>
      <c r="H17" s="58">
        <v>650</v>
      </c>
      <c r="I17" s="20">
        <f t="shared" si="2"/>
        <v>31.18714710817647</v>
      </c>
      <c r="J17" s="33">
        <f t="shared" si="5"/>
        <v>365</v>
      </c>
      <c r="K17" s="22">
        <f t="shared" si="3"/>
        <v>7.202432806276226</v>
      </c>
      <c r="L17" s="24">
        <f t="shared" si="6"/>
        <v>13.004033500568159</v>
      </c>
    </row>
    <row r="18" spans="2:12" ht="12.75">
      <c r="B18" s="51">
        <v>0</v>
      </c>
      <c r="C18" s="54" t="s">
        <v>35</v>
      </c>
      <c r="D18" s="64">
        <v>20</v>
      </c>
      <c r="E18" s="56">
        <f t="shared" si="0"/>
        <v>508</v>
      </c>
      <c r="F18" s="56">
        <f t="shared" si="4"/>
        <v>173.0708874877703</v>
      </c>
      <c r="G18" s="56">
        <f t="shared" si="1"/>
        <v>231.91498923361223</v>
      </c>
      <c r="H18" s="58">
        <v>650</v>
      </c>
      <c r="I18" s="20">
        <f t="shared" si="2"/>
        <v>30.2874053103598</v>
      </c>
      <c r="J18" s="33">
        <f t="shared" si="5"/>
        <v>370</v>
      </c>
      <c r="K18" s="22">
        <f t="shared" si="3"/>
        <v>7.188390303530074</v>
      </c>
      <c r="L18" s="24">
        <f t="shared" si="6"/>
        <v>13.35150004674973</v>
      </c>
    </row>
    <row r="19" spans="2:12" ht="12.75">
      <c r="B19" s="51">
        <v>0</v>
      </c>
      <c r="C19" s="54" t="s">
        <v>35</v>
      </c>
      <c r="D19" s="64">
        <v>19</v>
      </c>
      <c r="E19" s="56">
        <f t="shared" si="0"/>
        <v>482.59999999999997</v>
      </c>
      <c r="F19" s="56">
        <f t="shared" si="4"/>
        <v>167.82559047293532</v>
      </c>
      <c r="G19" s="56">
        <f t="shared" si="1"/>
        <v>224.88629123373335</v>
      </c>
      <c r="H19" s="58">
        <v>650</v>
      </c>
      <c r="I19" s="20">
        <f t="shared" si="2"/>
        <v>29.369478332763677</v>
      </c>
      <c r="J19" s="33">
        <f t="shared" si="5"/>
        <v>375</v>
      </c>
      <c r="K19" s="22">
        <f t="shared" si="3"/>
        <v>7.170350803665586</v>
      </c>
      <c r="L19" s="24">
        <f t="shared" si="6"/>
        <v>13.719966301155893</v>
      </c>
    </row>
    <row r="20" spans="2:12" ht="12.75">
      <c r="B20" s="51">
        <v>0</v>
      </c>
      <c r="C20" s="54" t="s">
        <v>35</v>
      </c>
      <c r="D20" s="64">
        <v>18</v>
      </c>
      <c r="E20" s="56">
        <f t="shared" si="0"/>
        <v>457.2</v>
      </c>
      <c r="F20" s="56">
        <f t="shared" si="4"/>
        <v>162.4686329993592</v>
      </c>
      <c r="G20" s="56">
        <f t="shared" si="1"/>
        <v>217.70796821914132</v>
      </c>
      <c r="H20" s="58">
        <v>650</v>
      </c>
      <c r="I20" s="20">
        <f t="shared" si="2"/>
        <v>28.432010774887857</v>
      </c>
      <c r="J20" s="33">
        <f t="shared" si="5"/>
        <v>380</v>
      </c>
      <c r="K20" s="22">
        <f t="shared" si="3"/>
        <v>7.147964055512569</v>
      </c>
      <c r="L20" s="24">
        <f t="shared" si="6"/>
        <v>14.112010895837225</v>
      </c>
    </row>
    <row r="21" spans="2:12" ht="12.75">
      <c r="B21" s="51">
        <v>0</v>
      </c>
      <c r="C21" s="54" t="s">
        <v>35</v>
      </c>
      <c r="D21" s="64">
        <v>17</v>
      </c>
      <c r="E21" s="56">
        <f t="shared" si="0"/>
        <v>431.79999999999995</v>
      </c>
      <c r="F21" s="56">
        <f t="shared" si="4"/>
        <v>156.99122422615352</v>
      </c>
      <c r="G21" s="56">
        <f t="shared" si="1"/>
        <v>210.36824046304574</v>
      </c>
      <c r="H21" s="58">
        <v>650</v>
      </c>
      <c r="I21" s="20">
        <f t="shared" si="2"/>
        <v>27.473464239576863</v>
      </c>
      <c r="J21" s="33">
        <f t="shared" si="5"/>
        <v>385</v>
      </c>
      <c r="K21" s="22">
        <f t="shared" si="3"/>
        <v>7.120825701115694</v>
      </c>
      <c r="L21" s="24">
        <f t="shared" si="6"/>
        <v>14.530694677834836</v>
      </c>
    </row>
    <row r="22" spans="2:12" ht="12.75">
      <c r="B22" s="51">
        <v>0</v>
      </c>
      <c r="C22" s="54" t="s">
        <v>35</v>
      </c>
      <c r="D22" s="64">
        <v>16</v>
      </c>
      <c r="E22" s="56">
        <f t="shared" si="0"/>
        <v>406.4</v>
      </c>
      <c r="F22" s="56">
        <f t="shared" si="4"/>
        <v>151.3833155862658</v>
      </c>
      <c r="G22" s="56">
        <f t="shared" si="1"/>
        <v>202.8536428855962</v>
      </c>
      <c r="H22" s="58">
        <v>650</v>
      </c>
      <c r="I22" s="20">
        <f t="shared" si="2"/>
        <v>26.492080227596514</v>
      </c>
      <c r="J22" s="33">
        <f t="shared" si="5"/>
        <v>390</v>
      </c>
      <c r="K22" s="22">
        <f t="shared" si="3"/>
        <v>7.088465052926996</v>
      </c>
      <c r="L22" s="24">
        <f t="shared" si="6"/>
        <v>14.979685239713413</v>
      </c>
    </row>
    <row r="23" spans="2:12" ht="12.75">
      <c r="B23" s="51">
        <v>0</v>
      </c>
      <c r="C23" s="54" t="s">
        <v>35</v>
      </c>
      <c r="D23" s="64">
        <v>15</v>
      </c>
      <c r="E23" s="56">
        <f t="shared" si="0"/>
        <v>381</v>
      </c>
      <c r="F23" s="56">
        <f t="shared" si="4"/>
        <v>145.6333295578831</v>
      </c>
      <c r="G23" s="56">
        <f t="shared" si="1"/>
        <v>195.14866160756335</v>
      </c>
      <c r="H23" s="58">
        <v>650</v>
      </c>
      <c r="I23" s="20">
        <f t="shared" si="2"/>
        <v>25.485832672629538</v>
      </c>
      <c r="J23" s="33">
        <f t="shared" si="5"/>
        <v>395</v>
      </c>
      <c r="K23" s="22">
        <f t="shared" si="3"/>
        <v>7.050329135199442</v>
      </c>
      <c r="L23" s="24">
        <f t="shared" si="6"/>
        <v>15.463423597126106</v>
      </c>
    </row>
    <row r="24" spans="2:12" ht="12.75">
      <c r="B24" s="51">
        <v>0</v>
      </c>
      <c r="C24" s="54" t="s">
        <v>35</v>
      </c>
      <c r="D24" s="64">
        <v>14</v>
      </c>
      <c r="E24" s="56">
        <f t="shared" si="0"/>
        <v>355.59999999999997</v>
      </c>
      <c r="F24" s="56">
        <f t="shared" si="4"/>
        <v>139.7278075669233</v>
      </c>
      <c r="G24" s="56">
        <f t="shared" si="1"/>
        <v>187.23526213967725</v>
      </c>
      <c r="H24" s="58">
        <v>650</v>
      </c>
      <c r="I24" s="20">
        <f t="shared" si="2"/>
        <v>24.452366324211578</v>
      </c>
      <c r="J24" s="33">
        <f t="shared" si="5"/>
        <v>400</v>
      </c>
      <c r="K24" s="22">
        <f t="shared" si="3"/>
        <v>7.005761510106981</v>
      </c>
      <c r="L24" s="24">
        <f t="shared" si="6"/>
        <v>15.987351120274695</v>
      </c>
    </row>
    <row r="25" spans="2:12" ht="12.75">
      <c r="B25" s="51">
        <v>0</v>
      </c>
      <c r="C25" s="54" t="s">
        <v>35</v>
      </c>
      <c r="D25" s="64">
        <v>13</v>
      </c>
      <c r="E25" s="56">
        <f t="shared" si="0"/>
        <v>330.2</v>
      </c>
      <c r="F25" s="56">
        <f t="shared" si="4"/>
        <v>133.65094525574372</v>
      </c>
      <c r="G25" s="56">
        <f t="shared" si="1"/>
        <v>179.0922666426966</v>
      </c>
      <c r="H25" s="58">
        <v>650</v>
      </c>
      <c r="I25" s="20">
        <f t="shared" si="2"/>
        <v>23.38891541975515</v>
      </c>
      <c r="J25" s="33">
        <f t="shared" si="5"/>
        <v>405</v>
      </c>
      <c r="K25" s="22">
        <f t="shared" si="3"/>
        <v>6.953973669898966</v>
      </c>
      <c r="L25" s="24">
        <f t="shared" si="6"/>
        <v>16.558224499545744</v>
      </c>
    </row>
    <row r="26" spans="2:12" ht="12.75">
      <c r="B26" s="51">
        <v>0</v>
      </c>
      <c r="C26" s="54" t="s">
        <v>35</v>
      </c>
      <c r="D26" s="64">
        <v>12</v>
      </c>
      <c r="E26" s="56">
        <f t="shared" si="0"/>
        <v>304.79999999999995</v>
      </c>
      <c r="F26" s="56">
        <f t="shared" si="4"/>
        <v>127.38396739253758</v>
      </c>
      <c r="G26" s="56">
        <f t="shared" si="1"/>
        <v>170.69451630600037</v>
      </c>
      <c r="H26" s="58">
        <v>650</v>
      </c>
      <c r="I26" s="20">
        <f t="shared" si="2"/>
        <v>22.292194293694077</v>
      </c>
      <c r="J26" s="33">
        <f t="shared" si="5"/>
        <v>410</v>
      </c>
      <c r="K26" s="22">
        <f t="shared" si="3"/>
        <v>6.894005579005877</v>
      </c>
      <c r="L26" s="24">
        <f t="shared" si="6"/>
        <v>17.18456254093768</v>
      </c>
    </row>
    <row r="27" spans="2:12" ht="12.75">
      <c r="B27" s="51">
        <v>0</v>
      </c>
      <c r="C27" s="54" t="s">
        <v>35</v>
      </c>
      <c r="D27" s="64">
        <v>11.5</v>
      </c>
      <c r="E27" s="56">
        <f t="shared" si="0"/>
        <v>292.09999999999997</v>
      </c>
      <c r="F27" s="56">
        <f t="shared" si="4"/>
        <v>124.1723005805363</v>
      </c>
      <c r="G27" s="56">
        <f t="shared" si="1"/>
        <v>166.39088277791865</v>
      </c>
      <c r="H27" s="58">
        <v>650</v>
      </c>
      <c r="I27" s="20">
        <f t="shared" si="2"/>
        <v>21.73015260159385</v>
      </c>
      <c r="J27" s="33">
        <f>(J26+2.5)</f>
        <v>412.5</v>
      </c>
      <c r="K27" s="22">
        <f t="shared" si="3"/>
        <v>6.860593773511004</v>
      </c>
      <c r="L27" s="24">
        <f t="shared" si="6"/>
        <v>17.52182881032561</v>
      </c>
    </row>
    <row r="28" spans="2:12" ht="12.75">
      <c r="B28" s="51">
        <v>0</v>
      </c>
      <c r="C28" s="54" t="s">
        <v>35</v>
      </c>
      <c r="D28" s="64">
        <v>11</v>
      </c>
      <c r="E28" s="56">
        <f t="shared" si="0"/>
        <v>279.4</v>
      </c>
      <c r="F28" s="56">
        <f t="shared" si="4"/>
        <v>120.90426866286647</v>
      </c>
      <c r="G28" s="56">
        <f t="shared" si="1"/>
        <v>162.01172000824107</v>
      </c>
      <c r="H28" s="58">
        <v>650</v>
      </c>
      <c r="I28" s="20">
        <f t="shared" si="2"/>
        <v>21.15824701600163</v>
      </c>
      <c r="J28" s="33">
        <f>(J27+2.5)</f>
        <v>415</v>
      </c>
      <c r="K28" s="22">
        <f t="shared" si="3"/>
        <v>6.824669945815916</v>
      </c>
      <c r="L28" s="24">
        <f t="shared" si="6"/>
        <v>17.87729600562604</v>
      </c>
    </row>
    <row r="29" spans="2:12" ht="12.75">
      <c r="B29" s="51">
        <v>0</v>
      </c>
      <c r="C29" s="54" t="s">
        <v>35</v>
      </c>
      <c r="D29" s="64">
        <v>10.5</v>
      </c>
      <c r="E29" s="56">
        <f t="shared" si="0"/>
        <v>266.7</v>
      </c>
      <c r="F29" s="56">
        <f t="shared" si="4"/>
        <v>117.57624949621955</v>
      </c>
      <c r="G29" s="56">
        <f t="shared" si="1"/>
        <v>157.5521743249342</v>
      </c>
      <c r="H29" s="58">
        <v>650</v>
      </c>
      <c r="I29" s="20">
        <f t="shared" si="2"/>
        <v>20.57584366183842</v>
      </c>
      <c r="J29" s="33">
        <f>(J28+2.5)</f>
        <v>417.5</v>
      </c>
      <c r="K29" s="22">
        <f t="shared" si="3"/>
        <v>6.786036954900653</v>
      </c>
      <c r="L29" s="24">
        <f t="shared" si="6"/>
        <v>18.252866226501745</v>
      </c>
    </row>
    <row r="30" spans="2:12" ht="12.75">
      <c r="B30" s="51">
        <v>0</v>
      </c>
      <c r="C30" s="54" t="s">
        <v>35</v>
      </c>
      <c r="D30" s="64">
        <v>10</v>
      </c>
      <c r="E30" s="56">
        <f t="shared" si="0"/>
        <v>254</v>
      </c>
      <c r="F30" s="56">
        <f t="shared" si="4"/>
        <v>114.1842025822992</v>
      </c>
      <c r="G30" s="56">
        <f t="shared" si="1"/>
        <v>153.00683146028095</v>
      </c>
      <c r="H30" s="58">
        <v>650</v>
      </c>
      <c r="I30" s="20">
        <f t="shared" si="2"/>
        <v>19.98223545190236</v>
      </c>
      <c r="J30" s="33">
        <v>350</v>
      </c>
      <c r="K30" s="22">
        <f t="shared" si="3"/>
        <v>6.063211590980875</v>
      </c>
      <c r="L30" s="24">
        <f t="shared" si="6"/>
        <v>16.87937627824103</v>
      </c>
    </row>
    <row r="31" spans="2:12" ht="12.75">
      <c r="B31" s="51">
        <v>0</v>
      </c>
      <c r="C31" s="54" t="s">
        <v>35</v>
      </c>
      <c r="D31" s="64">
        <v>9.5</v>
      </c>
      <c r="E31" s="56">
        <f t="shared" si="0"/>
        <v>241.29999999999998</v>
      </c>
      <c r="F31" s="56">
        <f t="shared" si="4"/>
        <v>110.72359712958517</v>
      </c>
      <c r="G31" s="56">
        <f t="shared" si="1"/>
        <v>148.36962015364415</v>
      </c>
      <c r="H31" s="58">
        <v>650</v>
      </c>
      <c r="I31" s="20">
        <f t="shared" si="2"/>
        <v>19.376629497677403</v>
      </c>
      <c r="J31" s="33">
        <f aca="true" t="shared" si="7" ref="J31:J38">(J30+2.5)</f>
        <v>352.5</v>
      </c>
      <c r="K31" s="22">
        <f t="shared" si="3"/>
        <v>6.025411509941</v>
      </c>
      <c r="L31" s="24">
        <f t="shared" si="6"/>
        <v>17.27375182026502</v>
      </c>
    </row>
    <row r="32" spans="2:12" ht="12.75">
      <c r="B32" s="51">
        <v>0</v>
      </c>
      <c r="C32" s="54" t="s">
        <v>35</v>
      </c>
      <c r="D32" s="64">
        <v>9</v>
      </c>
      <c r="E32" s="56">
        <f t="shared" si="0"/>
        <v>228.6</v>
      </c>
      <c r="F32" s="56">
        <f t="shared" si="4"/>
        <v>107.18932324755632</v>
      </c>
      <c r="G32" s="56">
        <f t="shared" si="1"/>
        <v>143.63369315172548</v>
      </c>
      <c r="H32" s="58">
        <v>650</v>
      </c>
      <c r="I32" s="20">
        <f t="shared" si="2"/>
        <v>18.758131568322355</v>
      </c>
      <c r="J32" s="33">
        <f t="shared" si="7"/>
        <v>355</v>
      </c>
      <c r="K32" s="22">
        <f t="shared" si="3"/>
        <v>5.984430439122</v>
      </c>
      <c r="L32" s="24">
        <f t="shared" si="6"/>
        <v>17.694308746227843</v>
      </c>
    </row>
    <row r="33" spans="2:12" ht="12.75">
      <c r="B33" s="51">
        <v>0</v>
      </c>
      <c r="C33" s="54" t="s">
        <v>35</v>
      </c>
      <c r="D33" s="64">
        <v>8.5</v>
      </c>
      <c r="E33" s="56">
        <f t="shared" si="0"/>
        <v>215.89999999999998</v>
      </c>
      <c r="F33" s="56">
        <f t="shared" si="4"/>
        <v>103.5755811441654</v>
      </c>
      <c r="G33" s="56">
        <f t="shared" si="1"/>
        <v>138.79127873318163</v>
      </c>
      <c r="H33" s="58">
        <v>650</v>
      </c>
      <c r="I33" s="20">
        <f t="shared" si="2"/>
        <v>18.12572670022894</v>
      </c>
      <c r="J33" s="33">
        <f t="shared" si="7"/>
        <v>357.5</v>
      </c>
      <c r="K33" s="22">
        <f t="shared" si="3"/>
        <v>5.939960454884017</v>
      </c>
      <c r="L33" s="24">
        <f t="shared" si="6"/>
        <v>18.14442615277212</v>
      </c>
    </row>
    <row r="34" spans="2:12" ht="12.75">
      <c r="B34" s="51">
        <v>0</v>
      </c>
      <c r="C34" s="54" t="s">
        <v>35</v>
      </c>
      <c r="D34" s="64">
        <v>8</v>
      </c>
      <c r="E34" s="56">
        <f t="shared" si="0"/>
        <v>203.2</v>
      </c>
      <c r="F34" s="56">
        <f t="shared" si="4"/>
        <v>99.87574123755365</v>
      </c>
      <c r="G34" s="56">
        <f t="shared" si="1"/>
        <v>133.8334932583219</v>
      </c>
      <c r="H34" s="58">
        <v>650</v>
      </c>
      <c r="I34" s="20">
        <f t="shared" si="2"/>
        <v>17.47825471657189</v>
      </c>
      <c r="J34" s="33">
        <f t="shared" si="7"/>
        <v>360</v>
      </c>
      <c r="K34" s="22">
        <f t="shared" si="3"/>
        <v>5.891642482525488</v>
      </c>
      <c r="L34" s="24">
        <f t="shared" si="6"/>
        <v>18.628145616199376</v>
      </c>
    </row>
    <row r="35" spans="2:12" ht="12.75">
      <c r="B35" s="51">
        <v>0</v>
      </c>
      <c r="C35" s="54" t="s">
        <v>35</v>
      </c>
      <c r="D35" s="64">
        <v>7.5</v>
      </c>
      <c r="E35" s="56">
        <f t="shared" si="0"/>
        <v>190.5</v>
      </c>
      <c r="F35" s="56">
        <f t="shared" si="4"/>
        <v>96.08216521191136</v>
      </c>
      <c r="G35" s="56">
        <f t="shared" si="1"/>
        <v>128.75010138396124</v>
      </c>
      <c r="H35" s="58">
        <v>650</v>
      </c>
      <c r="I35" s="20">
        <f t="shared" si="2"/>
        <v>16.814378912084486</v>
      </c>
      <c r="J35" s="33">
        <f t="shared" si="7"/>
        <v>362.5</v>
      </c>
      <c r="K35" s="22">
        <f t="shared" si="3"/>
        <v>5.839053913241153</v>
      </c>
      <c r="L35" s="24">
        <f t="shared" si="6"/>
        <v>19.150350922462962</v>
      </c>
    </row>
    <row r="36" spans="2:12" ht="12.75">
      <c r="B36" s="51">
        <v>0</v>
      </c>
      <c r="C36" s="54" t="s">
        <v>35</v>
      </c>
      <c r="D36" s="64">
        <v>7</v>
      </c>
      <c r="E36" s="56">
        <f t="shared" si="0"/>
        <v>177.79999999999998</v>
      </c>
      <c r="F36" s="56">
        <f t="shared" si="4"/>
        <v>92.18597371975399</v>
      </c>
      <c r="G36" s="56">
        <f t="shared" si="1"/>
        <v>123.52920478447035</v>
      </c>
      <c r="H36" s="58">
        <v>650</v>
      </c>
      <c r="I36" s="20">
        <f t="shared" si="2"/>
        <v>16.132545400956946</v>
      </c>
      <c r="J36" s="33">
        <f t="shared" si="7"/>
        <v>365</v>
      </c>
      <c r="K36" s="22">
        <f t="shared" si="3"/>
        <v>5.781692159383294</v>
      </c>
      <c r="L36" s="24">
        <f t="shared" si="6"/>
        <v>19.71701192785885</v>
      </c>
    </row>
    <row r="37" spans="2:12" ht="12.75">
      <c r="B37" s="51">
        <v>0</v>
      </c>
      <c r="C37" s="54" t="s">
        <v>35</v>
      </c>
      <c r="D37" s="64">
        <v>6.5</v>
      </c>
      <c r="E37" s="56">
        <f t="shared" si="0"/>
        <v>165.1</v>
      </c>
      <c r="F37" s="56">
        <f t="shared" si="4"/>
        <v>88.17673977361443</v>
      </c>
      <c r="G37" s="56">
        <f t="shared" si="1"/>
        <v>118.15683129664335</v>
      </c>
      <c r="H37" s="58">
        <v>650</v>
      </c>
      <c r="I37" s="20">
        <f t="shared" si="2"/>
        <v>15.430929460382524</v>
      </c>
      <c r="J37" s="33">
        <f t="shared" si="7"/>
        <v>367.5</v>
      </c>
      <c r="K37" s="22">
        <f t="shared" si="3"/>
        <v>5.718952415859872</v>
      </c>
      <c r="L37" s="24">
        <f t="shared" si="6"/>
        <v>20.335521727320668</v>
      </c>
    </row>
    <row r="38" spans="2:12" ht="12.75">
      <c r="B38" s="52">
        <v>0</v>
      </c>
      <c r="C38" s="55" t="s">
        <v>35</v>
      </c>
      <c r="D38" s="87">
        <v>6</v>
      </c>
      <c r="E38" s="57">
        <f t="shared" si="0"/>
        <v>152.39999999999998</v>
      </c>
      <c r="F38" s="118">
        <f t="shared" si="4"/>
        <v>84.04207634004486</v>
      </c>
      <c r="G38" s="57">
        <f t="shared" si="1"/>
        <v>112.61638229566012</v>
      </c>
      <c r="H38" s="59">
        <v>650</v>
      </c>
      <c r="I38" s="21">
        <f t="shared" si="2"/>
        <v>14.707363359507848</v>
      </c>
      <c r="J38" s="30">
        <f t="shared" si="7"/>
        <v>370</v>
      </c>
      <c r="K38" s="23">
        <f t="shared" si="3"/>
        <v>5.65009695904748</v>
      </c>
      <c r="L38" s="25">
        <f t="shared" si="6"/>
        <v>21.015172902557946</v>
      </c>
    </row>
    <row r="39" ht="5.25" customHeight="1"/>
    <row r="40" ht="12.75">
      <c r="B40" t="s">
        <v>36</v>
      </c>
    </row>
    <row r="41" ht="12.75">
      <c r="B41" t="s">
        <v>37</v>
      </c>
    </row>
    <row r="42" ht="12.75">
      <c r="B42" t="s">
        <v>38</v>
      </c>
    </row>
    <row r="43" ht="12.75">
      <c r="B43" t="s">
        <v>39</v>
      </c>
    </row>
    <row r="44" ht="5.25" customHeight="1"/>
    <row r="45" ht="12.75">
      <c r="B45" t="s">
        <v>40</v>
      </c>
    </row>
  </sheetData>
  <sheetProtection password="CE28" sheet="1" objects="1" scenarios="1"/>
  <printOptions/>
  <pageMargins left="0.75" right="0.75" top="1" bottom="1" header="0.5" footer="0.5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5"/>
  <sheetViews>
    <sheetView zoomScale="110" zoomScaleNormal="11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9.8515625" style="0" customWidth="1"/>
    <col min="3" max="3" width="12.28125" style="0" customWidth="1"/>
    <col min="6" max="6" width="10.7109375" style="0" customWidth="1"/>
    <col min="7" max="7" width="9.7109375" style="0" customWidth="1"/>
    <col min="9" max="9" width="11.28125" style="0" customWidth="1"/>
    <col min="10" max="10" width="11.57421875" style="0" customWidth="1"/>
    <col min="11" max="12" width="10.00390625" style="0" customWidth="1"/>
  </cols>
  <sheetData>
    <row r="1" ht="4.5" customHeight="1"/>
    <row r="2" spans="2:9" ht="18">
      <c r="B2" s="41" t="s">
        <v>0</v>
      </c>
      <c r="C2" s="44"/>
      <c r="D2" s="44"/>
      <c r="E2" s="44"/>
      <c r="F2" s="44"/>
      <c r="G2" s="44"/>
      <c r="H2" s="44"/>
      <c r="I2" s="46"/>
    </row>
    <row r="3" spans="2:9" ht="12.75">
      <c r="B3" s="43" t="s">
        <v>1</v>
      </c>
      <c r="C3" s="45"/>
      <c r="D3" s="45"/>
      <c r="E3" s="45"/>
      <c r="F3" s="45"/>
      <c r="G3" s="45"/>
      <c r="H3" s="5" t="s">
        <v>2</v>
      </c>
      <c r="I3" s="47"/>
    </row>
    <row r="4" ht="4.5" customHeight="1" thickBot="1" thickTop="1"/>
    <row r="5" spans="5:8" ht="13.5" thickBot="1">
      <c r="E5" s="72" t="s">
        <v>3</v>
      </c>
      <c r="F5" s="73"/>
      <c r="G5" s="74"/>
      <c r="H5" s="114"/>
    </row>
    <row r="6" spans="3:4" ht="18">
      <c r="C6" s="8" t="s">
        <v>41</v>
      </c>
      <c r="D6" s="2"/>
    </row>
    <row r="7" spans="2:4" ht="12.75">
      <c r="B7" s="6" t="s">
        <v>5</v>
      </c>
      <c r="D7" s="2"/>
    </row>
    <row r="8" spans="2:5" ht="12.75">
      <c r="B8" s="9"/>
      <c r="C8" s="3" t="s">
        <v>6</v>
      </c>
      <c r="D8" s="11">
        <v>0.7</v>
      </c>
      <c r="E8" t="s">
        <v>7</v>
      </c>
    </row>
    <row r="9" spans="3:12" ht="12.75">
      <c r="C9" s="27" t="s">
        <v>8</v>
      </c>
      <c r="D9" s="2"/>
      <c r="I9" s="28" t="s">
        <v>9</v>
      </c>
      <c r="J9" s="44"/>
      <c r="K9" s="44"/>
      <c r="L9" s="46"/>
    </row>
    <row r="10" spans="2:12" ht="12.75">
      <c r="B10" s="90"/>
      <c r="C10" s="90"/>
      <c r="D10" s="90"/>
      <c r="E10" s="90"/>
      <c r="F10" s="90"/>
      <c r="G10" s="90"/>
      <c r="H10" s="90"/>
      <c r="I10" s="116" t="s">
        <v>42</v>
      </c>
      <c r="J10" s="90"/>
      <c r="K10" s="90"/>
      <c r="L10" s="115"/>
    </row>
    <row r="11" spans="2:12" ht="12.75">
      <c r="B11" s="96" t="s">
        <v>10</v>
      </c>
      <c r="C11" s="97"/>
      <c r="D11" s="98" t="s">
        <v>11</v>
      </c>
      <c r="E11" s="99"/>
      <c r="F11" s="100" t="s">
        <v>12</v>
      </c>
      <c r="G11" s="100" t="s">
        <v>12</v>
      </c>
      <c r="H11" s="101" t="s">
        <v>13</v>
      </c>
      <c r="I11" s="116" t="s">
        <v>43</v>
      </c>
      <c r="J11" s="117" t="s">
        <v>15</v>
      </c>
      <c r="K11" s="90" t="s">
        <v>16</v>
      </c>
      <c r="L11" s="115" t="s">
        <v>17</v>
      </c>
    </row>
    <row r="12" spans="2:12" ht="12.75">
      <c r="B12" s="102" t="s">
        <v>18</v>
      </c>
      <c r="C12" s="103"/>
      <c r="D12" s="104" t="s">
        <v>19</v>
      </c>
      <c r="E12" s="117" t="s">
        <v>20</v>
      </c>
      <c r="F12" s="105" t="s">
        <v>21</v>
      </c>
      <c r="G12" s="106" t="s">
        <v>21</v>
      </c>
      <c r="H12" s="107" t="s">
        <v>21</v>
      </c>
      <c r="I12" s="91" t="s">
        <v>44</v>
      </c>
      <c r="J12" s="90" t="s">
        <v>23</v>
      </c>
      <c r="K12" s="117" t="s">
        <v>24</v>
      </c>
      <c r="L12" s="92" t="s">
        <v>25</v>
      </c>
    </row>
    <row r="13" spans="2:12" ht="12.75">
      <c r="B13" s="108" t="s">
        <v>26</v>
      </c>
      <c r="C13" s="109"/>
      <c r="D13" s="110" t="s">
        <v>27</v>
      </c>
      <c r="E13" s="94" t="s">
        <v>28</v>
      </c>
      <c r="F13" s="94" t="s">
        <v>45</v>
      </c>
      <c r="G13" s="94" t="s">
        <v>30</v>
      </c>
      <c r="H13" s="111" t="s">
        <v>31</v>
      </c>
      <c r="I13" s="93" t="s">
        <v>46</v>
      </c>
      <c r="J13" s="94" t="s">
        <v>32</v>
      </c>
      <c r="K13" s="94" t="s">
        <v>33</v>
      </c>
      <c r="L13" s="95" t="s">
        <v>34</v>
      </c>
    </row>
    <row r="14" spans="2:12" ht="12.75">
      <c r="B14" s="51">
        <v>0</v>
      </c>
      <c r="C14" s="54" t="s">
        <v>35</v>
      </c>
      <c r="D14" s="64">
        <v>24</v>
      </c>
      <c r="E14" s="56">
        <f aca="true" t="shared" si="0" ref="E14:E38">IF(B14=0,(D14*25.4),B14)</f>
        <v>609.5999999999999</v>
      </c>
      <c r="F14" s="56">
        <f>SQRT((E14/2)^1.2*30.6)</f>
        <v>171.10775406300033</v>
      </c>
      <c r="G14" s="56">
        <f aca="true" t="shared" si="1" ref="G14:G38">(F14*1.5)</f>
        <v>256.6616310945005</v>
      </c>
      <c r="H14" s="58">
        <v>650</v>
      </c>
      <c r="I14" s="20">
        <f aca="true" t="shared" si="2" ref="I14:I38">(F14^2)/(F14*4)*$D$8*1.118</f>
        <v>33.47723208242601</v>
      </c>
      <c r="J14" s="33">
        <v>350</v>
      </c>
      <c r="K14" s="22">
        <f aca="true" t="shared" si="3" ref="K14:K38">(F14*4*((J14+273)/(H14+273)))/(E14*PI())*I14</f>
        <v>8.075524514782762</v>
      </c>
      <c r="L14" s="24">
        <f>ASIN(+K14/SQRT(K14^2+I14^2))*180/PI()</f>
        <v>13.562045897497834</v>
      </c>
    </row>
    <row r="15" spans="2:12" ht="12.75">
      <c r="B15" s="51">
        <v>0</v>
      </c>
      <c r="C15" s="54" t="s">
        <v>35</v>
      </c>
      <c r="D15" s="64">
        <v>23</v>
      </c>
      <c r="E15" s="56">
        <f t="shared" si="0"/>
        <v>584.1999999999999</v>
      </c>
      <c r="F15" s="56">
        <f aca="true" t="shared" si="4" ref="F15:F38">SQRT((E15/2)^1.2*30.6)</f>
        <v>166.79370178272563</v>
      </c>
      <c r="G15" s="56">
        <f t="shared" si="1"/>
        <v>250.19055267408845</v>
      </c>
      <c r="H15" s="58">
        <v>650</v>
      </c>
      <c r="I15" s="20">
        <f t="shared" si="2"/>
        <v>32.63318775379027</v>
      </c>
      <c r="J15" s="33">
        <v>355</v>
      </c>
      <c r="K15" s="22">
        <f t="shared" si="3"/>
        <v>8.071340255068105</v>
      </c>
      <c r="L15" s="24">
        <f>ASIN(+K15/SQRT(K15^2+I15^2))*180/PI()</f>
        <v>13.89246010760089</v>
      </c>
    </row>
    <row r="16" spans="2:12" ht="12.75">
      <c r="B16" s="51">
        <v>0</v>
      </c>
      <c r="C16" s="54" t="s">
        <v>35</v>
      </c>
      <c r="D16" s="64">
        <v>22</v>
      </c>
      <c r="E16" s="56">
        <f t="shared" si="0"/>
        <v>558.8</v>
      </c>
      <c r="F16" s="56">
        <f t="shared" si="4"/>
        <v>162.40393741060853</v>
      </c>
      <c r="G16" s="56">
        <f t="shared" si="1"/>
        <v>243.6059061159128</v>
      </c>
      <c r="H16" s="58">
        <v>650</v>
      </c>
      <c r="I16" s="20">
        <f t="shared" si="2"/>
        <v>31.77433035438556</v>
      </c>
      <c r="J16" s="33">
        <f>(J15+5)</f>
        <v>360</v>
      </c>
      <c r="K16" s="22">
        <f t="shared" si="3"/>
        <v>8.063594705642995</v>
      </c>
      <c r="L16" s="24">
        <f aca="true" t="shared" si="5" ref="L16:L38">ATAN(K16/I16)*180/PI()</f>
        <v>14.239738948175216</v>
      </c>
    </row>
    <row r="17" spans="2:12" ht="12.75">
      <c r="B17" s="51">
        <v>0</v>
      </c>
      <c r="C17" s="54" t="s">
        <v>35</v>
      </c>
      <c r="D17" s="64">
        <v>21</v>
      </c>
      <c r="E17" s="56">
        <f t="shared" si="0"/>
        <v>533.4</v>
      </c>
      <c r="F17" s="56">
        <f t="shared" si="4"/>
        <v>157.9335955242643</v>
      </c>
      <c r="G17" s="56">
        <f t="shared" si="1"/>
        <v>236.90039328639642</v>
      </c>
      <c r="H17" s="58">
        <v>650</v>
      </c>
      <c r="I17" s="20">
        <f t="shared" si="2"/>
        <v>30.899707964322307</v>
      </c>
      <c r="J17" s="33">
        <f>(J16+5)</f>
        <v>365</v>
      </c>
      <c r="K17" s="22">
        <f t="shared" si="3"/>
        <v>8.052022550826338</v>
      </c>
      <c r="L17" s="24">
        <f t="shared" si="5"/>
        <v>14.605645867130493</v>
      </c>
    </row>
    <row r="18" spans="2:12" ht="12.75">
      <c r="B18" s="51">
        <v>0</v>
      </c>
      <c r="C18" s="54" t="s">
        <v>35</v>
      </c>
      <c r="D18" s="64">
        <v>20</v>
      </c>
      <c r="E18" s="56">
        <f t="shared" si="0"/>
        <v>508</v>
      </c>
      <c r="F18" s="56">
        <f t="shared" si="4"/>
        <v>153.3772487484671</v>
      </c>
      <c r="G18" s="56">
        <f t="shared" si="1"/>
        <v>230.06587312270068</v>
      </c>
      <c r="H18" s="58">
        <v>650</v>
      </c>
      <c r="I18" s="20">
        <f t="shared" si="2"/>
        <v>30.00825871763759</v>
      </c>
      <c r="J18" s="33">
        <v>360</v>
      </c>
      <c r="K18" s="22">
        <f t="shared" si="3"/>
        <v>7.911341907746732</v>
      </c>
      <c r="L18" s="24">
        <f t="shared" si="5"/>
        <v>14.769330103896188</v>
      </c>
    </row>
    <row r="19" spans="2:12" ht="12.75">
      <c r="B19" s="51">
        <v>0</v>
      </c>
      <c r="C19" s="54" t="s">
        <v>35</v>
      </c>
      <c r="D19" s="64">
        <v>19</v>
      </c>
      <c r="E19" s="56">
        <f t="shared" si="0"/>
        <v>482.59999999999997</v>
      </c>
      <c r="F19" s="56">
        <f t="shared" si="4"/>
        <v>148.72881112454388</v>
      </c>
      <c r="G19" s="56">
        <f t="shared" si="1"/>
        <v>223.09321668681582</v>
      </c>
      <c r="H19" s="58">
        <v>650</v>
      </c>
      <c r="I19" s="20">
        <f t="shared" si="2"/>
        <v>29.098791896517014</v>
      </c>
      <c r="J19" s="33">
        <f aca="true" t="shared" si="6" ref="J19:J26">(J18+5)</f>
        <v>365</v>
      </c>
      <c r="K19" s="22">
        <f t="shared" si="3"/>
        <v>7.892450082157587</v>
      </c>
      <c r="L19" s="24">
        <f t="shared" si="5"/>
        <v>15.1752121563301</v>
      </c>
    </row>
    <row r="20" spans="2:12" ht="12.75">
      <c r="B20" s="51">
        <v>0</v>
      </c>
      <c r="C20" s="54" t="s">
        <v>35</v>
      </c>
      <c r="D20" s="64">
        <v>18</v>
      </c>
      <c r="E20" s="56">
        <f t="shared" si="0"/>
        <v>457.2</v>
      </c>
      <c r="F20" s="56">
        <f t="shared" si="4"/>
        <v>143.98141882254447</v>
      </c>
      <c r="G20" s="56">
        <f t="shared" si="1"/>
        <v>215.9721282338167</v>
      </c>
      <c r="H20" s="58">
        <v>650</v>
      </c>
      <c r="I20" s="20">
        <f t="shared" si="2"/>
        <v>28.169964592630826</v>
      </c>
      <c r="J20" s="33">
        <f t="shared" si="6"/>
        <v>370</v>
      </c>
      <c r="K20" s="22">
        <f t="shared" si="3"/>
        <v>7.868753104533719</v>
      </c>
      <c r="L20" s="24">
        <f t="shared" si="5"/>
        <v>15.606712537656042</v>
      </c>
    </row>
    <row r="21" spans="2:12" ht="12.75">
      <c r="B21" s="51">
        <v>0</v>
      </c>
      <c r="C21" s="54" t="s">
        <v>35</v>
      </c>
      <c r="D21" s="64">
        <v>17</v>
      </c>
      <c r="E21" s="56">
        <f t="shared" si="0"/>
        <v>431.79999999999995</v>
      </c>
      <c r="F21" s="56">
        <f t="shared" si="4"/>
        <v>139.12728130641042</v>
      </c>
      <c r="G21" s="56">
        <f t="shared" si="1"/>
        <v>208.69092195961565</v>
      </c>
      <c r="H21" s="58">
        <v>650</v>
      </c>
      <c r="I21" s="20">
        <f t="shared" si="2"/>
        <v>27.2202525875992</v>
      </c>
      <c r="J21" s="33">
        <f t="shared" si="6"/>
        <v>375</v>
      </c>
      <c r="K21" s="22">
        <f t="shared" si="3"/>
        <v>7.8398045381784796</v>
      </c>
      <c r="L21" s="24">
        <f t="shared" si="5"/>
        <v>16.067123178620296</v>
      </c>
    </row>
    <row r="22" spans="2:12" ht="12.75">
      <c r="B22" s="51">
        <v>0</v>
      </c>
      <c r="C22" s="54" t="s">
        <v>35</v>
      </c>
      <c r="D22" s="64">
        <v>16</v>
      </c>
      <c r="E22" s="56">
        <f t="shared" si="0"/>
        <v>406.4</v>
      </c>
      <c r="F22" s="56">
        <f t="shared" si="4"/>
        <v>134.15749342987044</v>
      </c>
      <c r="G22" s="56">
        <f t="shared" si="1"/>
        <v>201.23624014480566</v>
      </c>
      <c r="H22" s="58">
        <v>650</v>
      </c>
      <c r="I22" s="20">
        <f t="shared" si="2"/>
        <v>26.24791358955415</v>
      </c>
      <c r="J22" s="33">
        <f t="shared" si="6"/>
        <v>380</v>
      </c>
      <c r="K22" s="22">
        <f t="shared" si="3"/>
        <v>7.80508474161015</v>
      </c>
      <c r="L22" s="24">
        <f t="shared" si="5"/>
        <v>16.560382513034845</v>
      </c>
    </row>
    <row r="23" spans="2:12" ht="12.75">
      <c r="B23" s="51">
        <v>0</v>
      </c>
      <c r="C23" s="54" t="s">
        <v>35</v>
      </c>
      <c r="D23" s="64">
        <v>15</v>
      </c>
      <c r="E23" s="56">
        <f t="shared" si="0"/>
        <v>381</v>
      </c>
      <c r="F23" s="56">
        <f t="shared" si="4"/>
        <v>129.06179507079324</v>
      </c>
      <c r="G23" s="56">
        <f t="shared" si="1"/>
        <v>193.59269260618987</v>
      </c>
      <c r="H23" s="58">
        <v>650</v>
      </c>
      <c r="I23" s="20">
        <f t="shared" si="2"/>
        <v>25.2509402056007</v>
      </c>
      <c r="J23" s="33">
        <f t="shared" si="6"/>
        <v>385</v>
      </c>
      <c r="K23" s="22">
        <f t="shared" si="3"/>
        <v>7.763983259065542</v>
      </c>
      <c r="L23" s="24">
        <f t="shared" si="5"/>
        <v>17.091251503911955</v>
      </c>
    </row>
    <row r="24" spans="2:12" ht="12.75">
      <c r="B24" s="51">
        <v>0</v>
      </c>
      <c r="C24" s="54" t="s">
        <v>35</v>
      </c>
      <c r="D24" s="64">
        <v>14</v>
      </c>
      <c r="E24" s="56">
        <f t="shared" si="0"/>
        <v>355.59999999999997</v>
      </c>
      <c r="F24" s="56">
        <f t="shared" si="4"/>
        <v>123.82825909865588</v>
      </c>
      <c r="G24" s="56">
        <f t="shared" si="1"/>
        <v>185.74238864798383</v>
      </c>
      <c r="H24" s="58">
        <v>650</v>
      </c>
      <c r="I24" s="20">
        <f t="shared" si="2"/>
        <v>24.226998892652023</v>
      </c>
      <c r="J24" s="33">
        <f t="shared" si="6"/>
        <v>390</v>
      </c>
      <c r="K24" s="22">
        <f t="shared" si="3"/>
        <v>7.715775456854482</v>
      </c>
      <c r="L24" s="24">
        <f t="shared" si="5"/>
        <v>17.66555275448089</v>
      </c>
    </row>
    <row r="25" spans="2:12" ht="12.75">
      <c r="B25" s="51">
        <v>0</v>
      </c>
      <c r="C25" s="54" t="s">
        <v>35</v>
      </c>
      <c r="D25" s="64">
        <v>13</v>
      </c>
      <c r="E25" s="56">
        <f t="shared" si="0"/>
        <v>330.2</v>
      </c>
      <c r="F25" s="56">
        <f t="shared" si="4"/>
        <v>118.44287952476401</v>
      </c>
      <c r="G25" s="56">
        <f t="shared" si="1"/>
        <v>177.66431928714601</v>
      </c>
      <c r="H25" s="58">
        <v>650</v>
      </c>
      <c r="I25" s="20">
        <f t="shared" si="2"/>
        <v>23.17334937902008</v>
      </c>
      <c r="J25" s="33">
        <f t="shared" si="6"/>
        <v>395</v>
      </c>
      <c r="K25" s="22">
        <f t="shared" si="3"/>
        <v>7.659590957803877</v>
      </c>
      <c r="L25" s="24">
        <f t="shared" si="5"/>
        <v>18.290501542845316</v>
      </c>
    </row>
    <row r="26" spans="2:12" ht="12.75">
      <c r="B26" s="51">
        <v>0</v>
      </c>
      <c r="C26" s="54" t="s">
        <v>35</v>
      </c>
      <c r="D26" s="64">
        <v>12</v>
      </c>
      <c r="E26" s="56">
        <f t="shared" si="0"/>
        <v>304.79999999999995</v>
      </c>
      <c r="F26" s="56">
        <f t="shared" si="4"/>
        <v>112.88901754035588</v>
      </c>
      <c r="G26" s="56">
        <f t="shared" si="1"/>
        <v>169.3335263105338</v>
      </c>
      <c r="H26" s="58">
        <v>650</v>
      </c>
      <c r="I26" s="20">
        <f t="shared" si="2"/>
        <v>22.08673628177063</v>
      </c>
      <c r="J26" s="33">
        <f t="shared" si="6"/>
        <v>400</v>
      </c>
      <c r="K26" s="22">
        <f t="shared" si="3"/>
        <v>7.594370105083706</v>
      </c>
      <c r="L26" s="24">
        <f t="shared" si="5"/>
        <v>18.97517410460826</v>
      </c>
    </row>
    <row r="27" spans="2:12" ht="12.75">
      <c r="B27" s="51">
        <v>0</v>
      </c>
      <c r="C27" s="54" t="s">
        <v>35</v>
      </c>
      <c r="D27" s="64">
        <v>11.5</v>
      </c>
      <c r="E27" s="56">
        <f t="shared" si="0"/>
        <v>292.09999999999997</v>
      </c>
      <c r="F27" s="56">
        <f t="shared" si="4"/>
        <v>110.04280448470072</v>
      </c>
      <c r="G27" s="56">
        <f t="shared" si="1"/>
        <v>165.0642067270511</v>
      </c>
      <c r="H27" s="58">
        <v>650</v>
      </c>
      <c r="I27" s="20">
        <f t="shared" si="2"/>
        <v>21.529874697431698</v>
      </c>
      <c r="J27" s="33">
        <f aca="true" t="shared" si="7" ref="J27:J33">(J26+2.5)</f>
        <v>402.5</v>
      </c>
      <c r="K27" s="22">
        <f t="shared" si="3"/>
        <v>7.55797352497715</v>
      </c>
      <c r="L27" s="24">
        <f t="shared" si="5"/>
        <v>19.343412990161518</v>
      </c>
    </row>
    <row r="28" spans="2:12" ht="12.75">
      <c r="B28" s="51">
        <v>0</v>
      </c>
      <c r="C28" s="54" t="s">
        <v>35</v>
      </c>
      <c r="D28" s="64">
        <v>11</v>
      </c>
      <c r="E28" s="56">
        <f t="shared" si="0"/>
        <v>279.4</v>
      </c>
      <c r="F28" s="56">
        <f t="shared" si="4"/>
        <v>107.14664007698198</v>
      </c>
      <c r="G28" s="56">
        <f t="shared" si="1"/>
        <v>160.719960115473</v>
      </c>
      <c r="H28" s="58">
        <v>650</v>
      </c>
      <c r="I28" s="20">
        <f t="shared" si="2"/>
        <v>20.96324013106153</v>
      </c>
      <c r="J28" s="33">
        <f t="shared" si="7"/>
        <v>405</v>
      </c>
      <c r="K28" s="22">
        <f t="shared" si="3"/>
        <v>7.5188024757381475</v>
      </c>
      <c r="L28" s="24">
        <f t="shared" si="5"/>
        <v>19.731186612825425</v>
      </c>
    </row>
    <row r="29" spans="2:12" ht="12.75">
      <c r="B29" s="51">
        <v>0</v>
      </c>
      <c r="C29" s="54" t="s">
        <v>35</v>
      </c>
      <c r="D29" s="64">
        <v>10.5</v>
      </c>
      <c r="E29" s="56">
        <f t="shared" si="0"/>
        <v>266.7</v>
      </c>
      <c r="F29" s="56">
        <f t="shared" si="4"/>
        <v>104.19731433553663</v>
      </c>
      <c r="G29" s="56">
        <f t="shared" si="1"/>
        <v>156.29597150330494</v>
      </c>
      <c r="H29" s="58">
        <v>650</v>
      </c>
      <c r="I29" s="20">
        <f t="shared" si="2"/>
        <v>20.386204549747738</v>
      </c>
      <c r="J29" s="33">
        <f t="shared" si="7"/>
        <v>407.5</v>
      </c>
      <c r="K29" s="22">
        <f t="shared" si="3"/>
        <v>7.4766393858059885</v>
      </c>
      <c r="L29" s="24">
        <f t="shared" si="5"/>
        <v>20.14050930724645</v>
      </c>
    </row>
    <row r="30" spans="2:12" ht="12.75">
      <c r="B30" s="51">
        <v>0</v>
      </c>
      <c r="C30" s="54" t="s">
        <v>35</v>
      </c>
      <c r="D30" s="64">
        <v>10</v>
      </c>
      <c r="E30" s="56">
        <f t="shared" si="0"/>
        <v>254</v>
      </c>
      <c r="F30" s="56">
        <f t="shared" si="4"/>
        <v>101.19124652809217</v>
      </c>
      <c r="G30" s="56">
        <f t="shared" si="1"/>
        <v>151.78686979213825</v>
      </c>
      <c r="H30" s="58">
        <v>650</v>
      </c>
      <c r="I30" s="20">
        <f t="shared" si="2"/>
        <v>19.79806738322123</v>
      </c>
      <c r="J30" s="33">
        <f t="shared" si="7"/>
        <v>410</v>
      </c>
      <c r="K30" s="22">
        <f t="shared" si="3"/>
        <v>7.431237621374901</v>
      </c>
      <c r="L30" s="24">
        <f t="shared" si="5"/>
        <v>20.573708149411466</v>
      </c>
    </row>
    <row r="31" spans="2:12" ht="12.75">
      <c r="B31" s="51">
        <v>0</v>
      </c>
      <c r="C31" s="54" t="s">
        <v>35</v>
      </c>
      <c r="D31" s="64">
        <v>9.5</v>
      </c>
      <c r="E31" s="56">
        <f t="shared" si="0"/>
        <v>241.29999999999998</v>
      </c>
      <c r="F31" s="56">
        <f t="shared" si="4"/>
        <v>98.12442141934169</v>
      </c>
      <c r="G31" s="56">
        <f t="shared" si="1"/>
        <v>147.18663212901254</v>
      </c>
      <c r="H31" s="58">
        <v>650</v>
      </c>
      <c r="I31" s="20">
        <f t="shared" si="2"/>
        <v>19.198043050694203</v>
      </c>
      <c r="J31" s="33">
        <f t="shared" si="7"/>
        <v>412.5</v>
      </c>
      <c r="K31" s="22">
        <f t="shared" si="3"/>
        <v>7.382315894712312</v>
      </c>
      <c r="L31" s="24">
        <f t="shared" si="5"/>
        <v>21.033489402644157</v>
      </c>
    </row>
    <row r="32" spans="2:12" ht="12.75">
      <c r="B32" s="51">
        <v>0</v>
      </c>
      <c r="C32" s="54" t="s">
        <v>35</v>
      </c>
      <c r="D32" s="64">
        <v>9</v>
      </c>
      <c r="E32" s="56">
        <f t="shared" si="0"/>
        <v>228.6</v>
      </c>
      <c r="F32" s="56">
        <f t="shared" si="4"/>
        <v>94.9923105703264</v>
      </c>
      <c r="G32" s="56">
        <f t="shared" si="1"/>
        <v>142.4884658554896</v>
      </c>
      <c r="H32" s="58">
        <v>650</v>
      </c>
      <c r="I32" s="20">
        <f t="shared" si="2"/>
        <v>18.58524556308436</v>
      </c>
      <c r="J32" s="33">
        <f t="shared" si="7"/>
        <v>415</v>
      </c>
      <c r="K32" s="22">
        <f t="shared" si="3"/>
        <v>7.329551234746333</v>
      </c>
      <c r="L32" s="24">
        <f t="shared" si="5"/>
        <v>21.52302328989428</v>
      </c>
    </row>
    <row r="33" spans="2:12" ht="12.75">
      <c r="B33" s="51">
        <v>0</v>
      </c>
      <c r="C33" s="54" t="s">
        <v>35</v>
      </c>
      <c r="D33" s="64">
        <v>8.5</v>
      </c>
      <c r="E33" s="56">
        <f t="shared" si="0"/>
        <v>215.89999999999998</v>
      </c>
      <c r="F33" s="56">
        <f t="shared" si="4"/>
        <v>91.78977414406717</v>
      </c>
      <c r="G33" s="56">
        <f t="shared" si="1"/>
        <v>137.68466121610075</v>
      </c>
      <c r="H33" s="58">
        <v>650</v>
      </c>
      <c r="I33" s="20">
        <f t="shared" si="2"/>
        <v>17.958669311286737</v>
      </c>
      <c r="J33" s="33">
        <f t="shared" si="7"/>
        <v>417.5</v>
      </c>
      <c r="K33" s="22">
        <f t="shared" si="3"/>
        <v>7.272570046836327</v>
      </c>
      <c r="L33" s="24">
        <f t="shared" si="5"/>
        <v>22.046053440493115</v>
      </c>
    </row>
    <row r="34" spans="2:12" ht="12.75">
      <c r="B34" s="51">
        <v>750</v>
      </c>
      <c r="C34" s="54" t="s">
        <v>35</v>
      </c>
      <c r="D34" s="64">
        <v>8</v>
      </c>
      <c r="E34" s="56">
        <f t="shared" si="0"/>
        <v>750</v>
      </c>
      <c r="F34" s="56">
        <f t="shared" si="4"/>
        <v>193.76684764912312</v>
      </c>
      <c r="G34" s="56">
        <f t="shared" si="1"/>
        <v>290.6502714736847</v>
      </c>
      <c r="H34" s="58">
        <v>650</v>
      </c>
      <c r="I34" s="20">
        <f t="shared" si="2"/>
        <v>37.910483742550944</v>
      </c>
      <c r="J34" s="33">
        <v>355</v>
      </c>
      <c r="K34" s="22">
        <f t="shared" si="3"/>
        <v>8.484877917140466</v>
      </c>
      <c r="L34" s="24">
        <f t="shared" si="5"/>
        <v>12.615661162286806</v>
      </c>
    </row>
    <row r="35" spans="2:12" ht="12.75">
      <c r="B35" s="51">
        <v>0</v>
      </c>
      <c r="C35" s="54" t="s">
        <v>35</v>
      </c>
      <c r="D35" s="64">
        <v>7.5</v>
      </c>
      <c r="E35" s="56">
        <f t="shared" si="0"/>
        <v>190.5</v>
      </c>
      <c r="F35" s="56">
        <f t="shared" si="4"/>
        <v>85.1490297872309</v>
      </c>
      <c r="G35" s="56">
        <f t="shared" si="1"/>
        <v>127.72354468084635</v>
      </c>
      <c r="H35" s="58">
        <v>650</v>
      </c>
      <c r="I35" s="20">
        <f t="shared" si="2"/>
        <v>16.659407677871727</v>
      </c>
      <c r="J35" s="33">
        <v>415</v>
      </c>
      <c r="K35" s="22">
        <f t="shared" si="3"/>
        <v>7.067098358245616</v>
      </c>
      <c r="L35" s="24">
        <f t="shared" si="5"/>
        <v>22.987174517285393</v>
      </c>
    </row>
    <row r="36" spans="2:12" ht="12.75">
      <c r="B36" s="51">
        <v>0</v>
      </c>
      <c r="C36" s="54" t="s">
        <v>35</v>
      </c>
      <c r="D36" s="64">
        <v>7</v>
      </c>
      <c r="E36" s="56">
        <f t="shared" si="0"/>
        <v>177.79999999999998</v>
      </c>
      <c r="F36" s="56">
        <f t="shared" si="4"/>
        <v>81.69618372895603</v>
      </c>
      <c r="G36" s="56">
        <f t="shared" si="1"/>
        <v>122.54427559343404</v>
      </c>
      <c r="H36" s="58">
        <v>650</v>
      </c>
      <c r="I36" s="20">
        <f t="shared" si="2"/>
        <v>15.983858346570248</v>
      </c>
      <c r="J36" s="33">
        <f>(J35+2.5)</f>
        <v>417.5</v>
      </c>
      <c r="K36" s="22">
        <f t="shared" si="3"/>
        <v>6.9955801339284465</v>
      </c>
      <c r="L36" s="24">
        <f t="shared" si="5"/>
        <v>23.637326597546085</v>
      </c>
    </row>
    <row r="37" spans="2:12" ht="12.75">
      <c r="B37" s="51">
        <v>0</v>
      </c>
      <c r="C37" s="54" t="s">
        <v>35</v>
      </c>
      <c r="D37" s="64">
        <v>6.5</v>
      </c>
      <c r="E37" s="56">
        <f t="shared" si="0"/>
        <v>165.1</v>
      </c>
      <c r="F37" s="56">
        <f t="shared" si="4"/>
        <v>78.14315825382349</v>
      </c>
      <c r="G37" s="56">
        <f t="shared" si="1"/>
        <v>117.21473738073523</v>
      </c>
      <c r="H37" s="58">
        <v>650</v>
      </c>
      <c r="I37" s="20">
        <f t="shared" si="2"/>
        <v>15.288708912360566</v>
      </c>
      <c r="J37" s="33">
        <f>(J36+2.5)</f>
        <v>420</v>
      </c>
      <c r="K37" s="22">
        <f t="shared" si="3"/>
        <v>6.917614412415128</v>
      </c>
      <c r="L37" s="24">
        <f t="shared" si="5"/>
        <v>24.34511447376558</v>
      </c>
    </row>
    <row r="38" spans="2:12" ht="12.75">
      <c r="B38" s="52">
        <v>0</v>
      </c>
      <c r="C38" s="55" t="s">
        <v>35</v>
      </c>
      <c r="D38" s="87">
        <v>6</v>
      </c>
      <c r="E38" s="57">
        <f t="shared" si="0"/>
        <v>152.39999999999998</v>
      </c>
      <c r="F38" s="118">
        <f t="shared" si="4"/>
        <v>74.47897584193979</v>
      </c>
      <c r="G38" s="57">
        <f t="shared" si="1"/>
        <v>111.71846376290968</v>
      </c>
      <c r="H38" s="59">
        <v>650</v>
      </c>
      <c r="I38" s="21">
        <f t="shared" si="2"/>
        <v>14.57181162347552</v>
      </c>
      <c r="J38" s="30">
        <f>(J37+2.5)</f>
        <v>422.5</v>
      </c>
      <c r="K38" s="23">
        <f t="shared" si="3"/>
        <v>6.83231418532546</v>
      </c>
      <c r="L38" s="25">
        <f t="shared" si="5"/>
        <v>25.120564596019108</v>
      </c>
    </row>
    <row r="39" ht="4.5" customHeight="1"/>
    <row r="40" ht="12.75">
      <c r="B40" t="s">
        <v>36</v>
      </c>
    </row>
    <row r="41" ht="12.75">
      <c r="B41" t="s">
        <v>37</v>
      </c>
    </row>
    <row r="42" ht="12.75">
      <c r="B42" t="s">
        <v>38</v>
      </c>
    </row>
    <row r="43" ht="12.75">
      <c r="B43" t="s">
        <v>39</v>
      </c>
    </row>
    <row r="44" ht="4.5" customHeight="1"/>
    <row r="45" ht="12.75">
      <c r="B45" t="s">
        <v>40</v>
      </c>
    </row>
  </sheetData>
  <sheetProtection password="CE28" sheet="1" objects="1" scenarios="1"/>
  <printOptions/>
  <pageMargins left="0.75" right="0.75" top="1" bottom="1" header="0.5" footer="0.5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4"/>
  <sheetViews>
    <sheetView zoomScale="110" zoomScaleNormal="11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9.421875" style="0" customWidth="1"/>
    <col min="3" max="3" width="12.140625" style="2" customWidth="1"/>
    <col min="4" max="4" width="8.140625" style="2" customWidth="1"/>
    <col min="6" max="6" width="9.8515625" style="0" hidden="1" customWidth="1"/>
    <col min="7" max="7" width="11.8515625" style="0" customWidth="1"/>
    <col min="8" max="8" width="7.57421875" style="0" hidden="1" customWidth="1"/>
    <col min="9" max="9" width="11.140625" style="0" customWidth="1"/>
    <col min="10" max="10" width="10.00390625" style="0" customWidth="1"/>
    <col min="11" max="11" width="8.421875" style="0" hidden="1" customWidth="1"/>
    <col min="12" max="12" width="11.57421875" style="0" customWidth="1"/>
    <col min="15" max="15" width="9.57421875" style="0" customWidth="1"/>
    <col min="16" max="16" width="10.7109375" style="2" customWidth="1"/>
  </cols>
  <sheetData>
    <row r="1" ht="4.5" customHeight="1"/>
    <row r="2" spans="3:10" ht="18">
      <c r="C2" s="41" t="s">
        <v>47</v>
      </c>
      <c r="D2" s="44"/>
      <c r="E2" s="44"/>
      <c r="F2" s="44"/>
      <c r="G2" s="44"/>
      <c r="H2" s="44"/>
      <c r="I2" s="44"/>
      <c r="J2" s="46"/>
    </row>
    <row r="3" spans="3:10" ht="12.75">
      <c r="C3" s="43" t="s">
        <v>1</v>
      </c>
      <c r="D3" s="45"/>
      <c r="E3" s="45"/>
      <c r="F3" s="45"/>
      <c r="G3" s="45"/>
      <c r="H3" s="45"/>
      <c r="I3" s="5" t="s">
        <v>2</v>
      </c>
      <c r="J3" s="47"/>
    </row>
    <row r="4" spans="4:9" ht="5.25" customHeight="1">
      <c r="D4" s="68"/>
      <c r="G4" s="66"/>
      <c r="H4" s="89"/>
      <c r="I4" s="66"/>
    </row>
    <row r="5" spans="3:7" ht="12.75">
      <c r="C5" s="1" t="s">
        <v>48</v>
      </c>
      <c r="G5" s="66"/>
    </row>
    <row r="6" ht="5.25" customHeight="1">
      <c r="D6" s="6"/>
    </row>
    <row r="7" spans="3:12" ht="12.75">
      <c r="C7" s="3" t="s">
        <v>6</v>
      </c>
      <c r="D7" s="11">
        <v>0.7</v>
      </c>
      <c r="E7" t="s">
        <v>7</v>
      </c>
      <c r="I7" s="10" t="s">
        <v>3</v>
      </c>
      <c r="J7" s="12"/>
      <c r="L7" s="15"/>
    </row>
    <row r="8" spans="3:12" ht="12.75">
      <c r="C8" s="4" t="s">
        <v>8</v>
      </c>
      <c r="L8" s="66"/>
    </row>
    <row r="9" spans="2:14" ht="12.75">
      <c r="B9" s="66"/>
      <c r="C9" s="66"/>
      <c r="D9" s="66"/>
      <c r="E9" s="66"/>
      <c r="F9" s="66"/>
      <c r="G9" s="66"/>
      <c r="I9" s="29" t="s">
        <v>49</v>
      </c>
      <c r="J9" s="71"/>
      <c r="K9" s="71"/>
      <c r="L9" s="71"/>
      <c r="M9" s="44"/>
      <c r="N9" s="46"/>
    </row>
    <row r="10" spans="2:16" ht="12.75">
      <c r="B10" s="96" t="s">
        <v>10</v>
      </c>
      <c r="C10" s="97"/>
      <c r="D10" s="98" t="s">
        <v>11</v>
      </c>
      <c r="E10" s="75"/>
      <c r="F10" s="75"/>
      <c r="G10" s="76" t="s">
        <v>50</v>
      </c>
      <c r="H10" s="77" t="s">
        <v>14</v>
      </c>
      <c r="I10" s="78" t="s">
        <v>50</v>
      </c>
      <c r="J10" s="104" t="s">
        <v>16</v>
      </c>
      <c r="K10" s="79" t="s">
        <v>17</v>
      </c>
      <c r="L10" s="104" t="s">
        <v>50</v>
      </c>
      <c r="M10" s="117"/>
      <c r="N10" s="92"/>
      <c r="O10" s="80" t="s">
        <v>51</v>
      </c>
      <c r="P10" s="101" t="s">
        <v>52</v>
      </c>
    </row>
    <row r="11" spans="2:16" ht="12.75">
      <c r="B11" s="102" t="s">
        <v>18</v>
      </c>
      <c r="C11" s="103"/>
      <c r="D11" s="104" t="s">
        <v>19</v>
      </c>
      <c r="E11" s="104" t="s">
        <v>20</v>
      </c>
      <c r="F11" s="81" t="s">
        <v>12</v>
      </c>
      <c r="G11" s="82" t="s">
        <v>53</v>
      </c>
      <c r="H11" s="78" t="s">
        <v>22</v>
      </c>
      <c r="I11" s="78" t="s">
        <v>54</v>
      </c>
      <c r="J11" s="104" t="s">
        <v>24</v>
      </c>
      <c r="K11" s="104" t="s">
        <v>25</v>
      </c>
      <c r="L11" s="104" t="s">
        <v>55</v>
      </c>
      <c r="M11" s="117" t="s">
        <v>56</v>
      </c>
      <c r="N11" s="83" t="s">
        <v>56</v>
      </c>
      <c r="O11" s="84" t="s">
        <v>57</v>
      </c>
      <c r="P11" s="82" t="s">
        <v>58</v>
      </c>
    </row>
    <row r="12" spans="2:16" ht="12.75">
      <c r="B12" s="108" t="s">
        <v>26</v>
      </c>
      <c r="C12" s="109"/>
      <c r="D12" s="110" t="s">
        <v>27</v>
      </c>
      <c r="E12" s="110" t="s">
        <v>28</v>
      </c>
      <c r="F12" s="110" t="s">
        <v>29</v>
      </c>
      <c r="G12" s="85" t="s">
        <v>31</v>
      </c>
      <c r="H12" s="86" t="s">
        <v>21</v>
      </c>
      <c r="I12" s="86" t="s">
        <v>32</v>
      </c>
      <c r="J12" s="110" t="s">
        <v>33</v>
      </c>
      <c r="K12" s="110" t="s">
        <v>34</v>
      </c>
      <c r="L12" s="110" t="s">
        <v>59</v>
      </c>
      <c r="M12" s="94" t="s">
        <v>54</v>
      </c>
      <c r="N12" s="69" t="s">
        <v>60</v>
      </c>
      <c r="O12" s="70" t="s">
        <v>61</v>
      </c>
      <c r="P12" s="85" t="s">
        <v>62</v>
      </c>
    </row>
    <row r="13" spans="2:16" ht="12.75">
      <c r="B13" s="51">
        <v>0</v>
      </c>
      <c r="C13" s="68" t="s">
        <v>35</v>
      </c>
      <c r="D13" s="64">
        <v>24</v>
      </c>
      <c r="E13" s="67">
        <f aca="true" t="shared" si="0" ref="E13:E37">IF(B13=0,(D13*25.4),B13)</f>
        <v>609.5999999999999</v>
      </c>
      <c r="F13" s="67">
        <f>SQRT((E13/2)^1.2*30.6)</f>
        <v>171.10775406300033</v>
      </c>
      <c r="G13" s="58">
        <v>650</v>
      </c>
      <c r="H13" s="31">
        <f>((F13/2)^2)/F13*'Round Firebox'!$D$8</f>
        <v>29.943856961025055</v>
      </c>
      <c r="I13" s="13">
        <v>350</v>
      </c>
      <c r="J13" s="16">
        <f>((F13/2)^2*((I13+273)/(G13+273)))/E13*'Round Firebox'!$D$8</f>
        <v>5.673078821450314</v>
      </c>
      <c r="K13" s="17">
        <f>ASIN(+J13/SQRT(J13^2+H13^2))*180/PI()</f>
        <v>10.727946672952209</v>
      </c>
      <c r="L13" s="33">
        <v>220</v>
      </c>
      <c r="M13" s="36">
        <f aca="true" t="shared" si="1" ref="M13:M37">SQRT((((E13*PI())*J13)+((E13/2)^2*PI()))/PI())*2</f>
        <v>620.8424883963921</v>
      </c>
      <c r="N13" s="39">
        <f aca="true" t="shared" si="2" ref="N13:N37">SQRT((((((M13/2)^2)*PI())-((E13/2)^2*PI()))*((L13+273)/(I13+273))+((E13/2)^2*PI()))/PI())*2</f>
        <v>618.5134157604355</v>
      </c>
      <c r="O13" s="60">
        <f aca="true" t="shared" si="3" ref="O13:O37">(0.4*E13)</f>
        <v>243.83999999999997</v>
      </c>
      <c r="P13" s="62">
        <f aca="true" t="shared" si="4" ref="P13:P37">ATAN(((M13-N13)/2)/O13)*180/PI()</f>
        <v>0.27363233609529347</v>
      </c>
    </row>
    <row r="14" spans="2:16" ht="12.75">
      <c r="B14" s="51">
        <v>0</v>
      </c>
      <c r="C14" s="68" t="s">
        <v>35</v>
      </c>
      <c r="D14" s="64">
        <v>23</v>
      </c>
      <c r="E14" s="67">
        <f t="shared" si="0"/>
        <v>584.1999999999999</v>
      </c>
      <c r="F14" s="67">
        <f aca="true" t="shared" si="5" ref="F14:F37">SQRT((E14/2)^1.2*30.6)</f>
        <v>166.79370178272563</v>
      </c>
      <c r="G14" s="58">
        <v>650</v>
      </c>
      <c r="H14" s="31">
        <f>((F14/2)^2)/F14*'Round Firebox'!$D$8</f>
        <v>29.188897811976982</v>
      </c>
      <c r="I14" s="13">
        <v>355</v>
      </c>
      <c r="J14" s="16">
        <f>((F14/2)^2*((I14+273)/(G14+273)))/E14*'Round Firebox'!$D$8</f>
        <v>5.670139367161344</v>
      </c>
      <c r="K14" s="17">
        <f>ASIN(+J14/SQRT(J14^2+H14^2))*180/PI()</f>
        <v>10.99317617194999</v>
      </c>
      <c r="L14" s="33">
        <v>230</v>
      </c>
      <c r="M14" s="36">
        <f t="shared" si="1"/>
        <v>595.4322981441152</v>
      </c>
      <c r="N14" s="39">
        <f t="shared" si="2"/>
        <v>593.2135235787407</v>
      </c>
      <c r="O14" s="60">
        <f t="shared" si="3"/>
        <v>233.67999999999998</v>
      </c>
      <c r="P14" s="62">
        <f t="shared" si="4"/>
        <v>0.2720075813592518</v>
      </c>
    </row>
    <row r="15" spans="2:16" ht="12.75">
      <c r="B15" s="51">
        <v>0</v>
      </c>
      <c r="C15" s="68" t="s">
        <v>35</v>
      </c>
      <c r="D15" s="64">
        <v>22</v>
      </c>
      <c r="E15" s="67">
        <f t="shared" si="0"/>
        <v>558.8</v>
      </c>
      <c r="F15" s="67">
        <f t="shared" si="5"/>
        <v>162.40393741060853</v>
      </c>
      <c r="G15" s="58">
        <v>650</v>
      </c>
      <c r="H15" s="31">
        <f>((F15/2)^2)/F15*'Round Firebox'!$D$8</f>
        <v>28.42068904685649</v>
      </c>
      <c r="I15" s="13">
        <f aca="true" t="shared" si="6" ref="I15:I25">(I14+5)</f>
        <v>360</v>
      </c>
      <c r="J15" s="16">
        <f>((F15/2)^2*((I15+273)/(G15+273)))/E15*'Round Firebox'!$D$8</f>
        <v>5.664698096774057</v>
      </c>
      <c r="K15" s="17">
        <f aca="true" t="shared" si="7" ref="K15:K37">ATAN(J15/H15)*180/PI()</f>
        <v>11.27224460365036</v>
      </c>
      <c r="L15" s="33">
        <v>240</v>
      </c>
      <c r="M15" s="36">
        <f t="shared" si="1"/>
        <v>570.0168183360113</v>
      </c>
      <c r="N15" s="39">
        <f t="shared" si="2"/>
        <v>567.9074261002933</v>
      </c>
      <c r="O15" s="60">
        <f t="shared" si="3"/>
        <v>223.51999999999998</v>
      </c>
      <c r="P15" s="62">
        <f t="shared" si="4"/>
        <v>0.2703524863114521</v>
      </c>
    </row>
    <row r="16" spans="2:16" ht="12.75">
      <c r="B16" s="51">
        <v>0</v>
      </c>
      <c r="C16" s="68" t="s">
        <v>35</v>
      </c>
      <c r="D16" s="64">
        <v>21</v>
      </c>
      <c r="E16" s="67">
        <f t="shared" si="0"/>
        <v>533.4</v>
      </c>
      <c r="F16" s="67">
        <f t="shared" si="5"/>
        <v>157.9335955242643</v>
      </c>
      <c r="G16" s="58">
        <v>650</v>
      </c>
      <c r="H16" s="31">
        <f>((F16/2)^2)/F16*'Round Firebox'!$D$8</f>
        <v>27.638379216746248</v>
      </c>
      <c r="I16" s="13">
        <f t="shared" si="6"/>
        <v>365</v>
      </c>
      <c r="J16" s="16">
        <f>((F16/2)^2*((I16+273)/(G16+273)))/E16*'Round Firebox'!$D$8</f>
        <v>5.656568625271772</v>
      </c>
      <c r="K16" s="17">
        <f t="shared" si="7"/>
        <v>11.566624925315512</v>
      </c>
      <c r="L16" s="33">
        <v>250</v>
      </c>
      <c r="M16" s="36">
        <f t="shared" si="1"/>
        <v>544.595643407914</v>
      </c>
      <c r="N16" s="39">
        <f t="shared" si="2"/>
        <v>542.5946869251732</v>
      </c>
      <c r="O16" s="60">
        <f t="shared" si="3"/>
        <v>213.36</v>
      </c>
      <c r="P16" s="62">
        <f t="shared" si="4"/>
        <v>0.26866685689255154</v>
      </c>
    </row>
    <row r="17" spans="2:16" ht="12.75">
      <c r="B17" s="51">
        <v>0</v>
      </c>
      <c r="C17" s="68" t="s">
        <v>35</v>
      </c>
      <c r="D17" s="64">
        <v>20</v>
      </c>
      <c r="E17" s="67">
        <f t="shared" si="0"/>
        <v>508</v>
      </c>
      <c r="F17" s="67">
        <f t="shared" si="5"/>
        <v>153.3772487484671</v>
      </c>
      <c r="G17" s="58">
        <v>650</v>
      </c>
      <c r="H17" s="31">
        <f>((F17/2)^2)/F17*'Round Firebox'!$D$8</f>
        <v>26.841018530981742</v>
      </c>
      <c r="I17" s="13">
        <f t="shared" si="6"/>
        <v>370</v>
      </c>
      <c r="J17" s="16">
        <f>((F17/2)^2*((I17+273)/(G17+273)))/E17*'Round Firebox'!$D$8</f>
        <v>5.645540076642349</v>
      </c>
      <c r="K17" s="17">
        <f t="shared" si="7"/>
        <v>11.878027251209774</v>
      </c>
      <c r="L17" s="33">
        <v>260</v>
      </c>
      <c r="M17" s="36">
        <f t="shared" si="1"/>
        <v>519.1683132046265</v>
      </c>
      <c r="N17" s="39">
        <f t="shared" si="2"/>
        <v>517.2748126567683</v>
      </c>
      <c r="O17" s="60">
        <f t="shared" si="3"/>
        <v>203.20000000000002</v>
      </c>
      <c r="P17" s="62">
        <f t="shared" si="4"/>
        <v>0.26695079938712046</v>
      </c>
    </row>
    <row r="18" spans="2:16" ht="12.75">
      <c r="B18" s="51">
        <v>0</v>
      </c>
      <c r="C18" s="68" t="s">
        <v>35</v>
      </c>
      <c r="D18" s="64">
        <v>19</v>
      </c>
      <c r="E18" s="67">
        <f t="shared" si="0"/>
        <v>482.59999999999997</v>
      </c>
      <c r="F18" s="67">
        <f t="shared" si="5"/>
        <v>148.72881112454388</v>
      </c>
      <c r="G18" s="58">
        <v>650</v>
      </c>
      <c r="H18" s="31">
        <f>((F18/2)^2)/F18*'Round Firebox'!$D$8</f>
        <v>26.02754194679518</v>
      </c>
      <c r="I18" s="13">
        <f t="shared" si="6"/>
        <v>375</v>
      </c>
      <c r="J18" s="16">
        <f>((F18/2)^2*((I18+273)/(G18+273)))/E18*'Round Firebox'!$D$8</f>
        <v>5.631372409731228</v>
      </c>
      <c r="K18" s="17">
        <f t="shared" si="7"/>
        <v>12.208451133779114</v>
      </c>
      <c r="L18" s="33">
        <v>270</v>
      </c>
      <c r="M18" s="36">
        <f t="shared" si="1"/>
        <v>493.73430233248445</v>
      </c>
      <c r="N18" s="39">
        <f t="shared" si="2"/>
        <v>491.94724195478125</v>
      </c>
      <c r="O18" s="60">
        <f t="shared" si="3"/>
        <v>193.04</v>
      </c>
      <c r="P18" s="62">
        <f t="shared" si="4"/>
        <v>0.2652048439164448</v>
      </c>
    </row>
    <row r="19" spans="2:16" ht="12.75">
      <c r="B19" s="51">
        <v>0</v>
      </c>
      <c r="C19" s="68" t="s">
        <v>35</v>
      </c>
      <c r="D19" s="64">
        <v>18</v>
      </c>
      <c r="E19" s="67">
        <f t="shared" si="0"/>
        <v>457.2</v>
      </c>
      <c r="F19" s="67">
        <f t="shared" si="5"/>
        <v>143.98141882254447</v>
      </c>
      <c r="G19" s="58">
        <v>650</v>
      </c>
      <c r="H19" s="31">
        <f>((F19/2)^2)/F19*'Round Firebox'!$D$8</f>
        <v>25.19674829394528</v>
      </c>
      <c r="I19" s="13">
        <f t="shared" si="6"/>
        <v>380</v>
      </c>
      <c r="J19" s="16">
        <f>((F19/2)^2*((I19+273)/(G19+273)))/E19*'Round Firebox'!$D$8</f>
        <v>5.613790548070003</v>
      </c>
      <c r="K19" s="17">
        <f t="shared" si="7"/>
        <v>12.560252801970107</v>
      </c>
      <c r="L19" s="33">
        <f aca="true" t="shared" si="8" ref="L19:L37">(I19-100)</f>
        <v>280</v>
      </c>
      <c r="M19" s="36">
        <f t="shared" si="1"/>
        <v>468.29300673222787</v>
      </c>
      <c r="N19" s="39">
        <f t="shared" si="2"/>
        <v>466.61133175689304</v>
      </c>
      <c r="O19" s="60">
        <f t="shared" si="3"/>
        <v>182.88</v>
      </c>
      <c r="P19" s="62">
        <f t="shared" si="4"/>
        <v>0.26343011718668813</v>
      </c>
    </row>
    <row r="20" spans="2:16" ht="12.75">
      <c r="B20" s="51">
        <v>0</v>
      </c>
      <c r="C20" s="68" t="s">
        <v>35</v>
      </c>
      <c r="D20" s="64">
        <v>17</v>
      </c>
      <c r="E20" s="67">
        <f t="shared" si="0"/>
        <v>431.79999999999995</v>
      </c>
      <c r="F20" s="67">
        <f t="shared" si="5"/>
        <v>139.12728130641042</v>
      </c>
      <c r="G20" s="58">
        <v>650</v>
      </c>
      <c r="H20" s="31">
        <f>((F20/2)^2)/F20*'Round Firebox'!$D$8</f>
        <v>24.347274228621824</v>
      </c>
      <c r="I20" s="13">
        <f t="shared" si="6"/>
        <v>385</v>
      </c>
      <c r="J20" s="16">
        <f>((F20/2)^2*((I20+273)/(G20+273)))/E20*'Round Firebox'!$D$8</f>
        <v>5.592476921389709</v>
      </c>
      <c r="K20" s="17">
        <f t="shared" si="7"/>
        <v>12.936232728399899</v>
      </c>
      <c r="L20" s="33">
        <f t="shared" si="8"/>
        <v>285</v>
      </c>
      <c r="M20" s="36">
        <f t="shared" si="1"/>
        <v>442.84372654315007</v>
      </c>
      <c r="N20" s="39">
        <f t="shared" si="2"/>
        <v>441.18316314517796</v>
      </c>
      <c r="O20" s="60">
        <f t="shared" si="3"/>
        <v>172.72</v>
      </c>
      <c r="P20" s="62">
        <f t="shared" si="4"/>
        <v>0.2754242168403986</v>
      </c>
    </row>
    <row r="21" spans="2:16" ht="12.75">
      <c r="B21" s="51">
        <v>0</v>
      </c>
      <c r="C21" s="68" t="s">
        <v>35</v>
      </c>
      <c r="D21" s="64">
        <v>16</v>
      </c>
      <c r="E21" s="67">
        <f t="shared" si="0"/>
        <v>406.4</v>
      </c>
      <c r="F21" s="67">
        <f t="shared" si="5"/>
        <v>134.15749342987044</v>
      </c>
      <c r="G21" s="58">
        <v>650</v>
      </c>
      <c r="H21" s="31">
        <f>((F21/2)^2)/F21*'Round Firebox'!$D$8</f>
        <v>23.477561350227326</v>
      </c>
      <c r="I21" s="13">
        <f t="shared" si="6"/>
        <v>390</v>
      </c>
      <c r="J21" s="16">
        <f>((F21/2)^2*((I21+273)/(G21+273)))/E21*'Round Firebox'!$D$8</f>
        <v>5.567061866204727</v>
      </c>
      <c r="K21" s="17">
        <f t="shared" si="7"/>
        <v>13.339751266056354</v>
      </c>
      <c r="L21" s="33">
        <f t="shared" si="8"/>
        <v>290</v>
      </c>
      <c r="M21" s="36">
        <f t="shared" si="1"/>
        <v>417.38564394298754</v>
      </c>
      <c r="N21" s="39">
        <f t="shared" si="2"/>
        <v>415.7472742130722</v>
      </c>
      <c r="O21" s="60">
        <f t="shared" si="3"/>
        <v>162.56</v>
      </c>
      <c r="P21" s="62">
        <f t="shared" si="4"/>
        <v>0.28872685844015983</v>
      </c>
    </row>
    <row r="22" spans="2:16" ht="12.75">
      <c r="B22" s="51">
        <v>0</v>
      </c>
      <c r="C22" s="68" t="s">
        <v>35</v>
      </c>
      <c r="D22" s="64">
        <v>15</v>
      </c>
      <c r="E22" s="67">
        <f t="shared" si="0"/>
        <v>381</v>
      </c>
      <c r="F22" s="67">
        <f t="shared" si="5"/>
        <v>129.06179507079324</v>
      </c>
      <c r="G22" s="58">
        <v>650</v>
      </c>
      <c r="H22" s="31">
        <f>((F22/2)^2)/F22*'Round Firebox'!$D$8</f>
        <v>22.585814137388816</v>
      </c>
      <c r="I22" s="13">
        <f t="shared" si="6"/>
        <v>395</v>
      </c>
      <c r="J22" s="16">
        <f>((F22/2)^2*((I22+273)/(G22+273)))/E22*'Round Firebox'!$D$8</f>
        <v>5.537111092415397</v>
      </c>
      <c r="K22" s="17">
        <f t="shared" si="7"/>
        <v>13.774883727862465</v>
      </c>
      <c r="L22" s="33">
        <f t="shared" si="8"/>
        <v>295</v>
      </c>
      <c r="M22" s="36">
        <f t="shared" si="1"/>
        <v>391.91779406508334</v>
      </c>
      <c r="N22" s="39">
        <f t="shared" si="2"/>
        <v>390.302831431285</v>
      </c>
      <c r="O22" s="60">
        <f t="shared" si="3"/>
        <v>152.4</v>
      </c>
      <c r="P22" s="62">
        <f t="shared" si="4"/>
        <v>0.30357505616867664</v>
      </c>
    </row>
    <row r="23" spans="2:16" ht="12.75">
      <c r="B23" s="51">
        <v>0</v>
      </c>
      <c r="C23" s="68" t="s">
        <v>35</v>
      </c>
      <c r="D23" s="64">
        <v>14</v>
      </c>
      <c r="E23" s="67">
        <f t="shared" si="0"/>
        <v>355.59999999999997</v>
      </c>
      <c r="F23" s="67">
        <f t="shared" si="5"/>
        <v>123.82825909865588</v>
      </c>
      <c r="G23" s="58">
        <v>650</v>
      </c>
      <c r="H23" s="31">
        <f>((F23/2)^2)/F23*'Round Firebox'!$D$8</f>
        <v>21.66994534226478</v>
      </c>
      <c r="I23" s="13">
        <f t="shared" si="6"/>
        <v>400</v>
      </c>
      <c r="J23" s="16">
        <f>((F23/2)^2*((I23+273)/(G23+273)))/E23*'Round Firebox'!$D$8</f>
        <v>5.502109053995654</v>
      </c>
      <c r="K23" s="17">
        <f t="shared" si="7"/>
        <v>14.246631985808223</v>
      </c>
      <c r="L23" s="33">
        <f t="shared" si="8"/>
        <v>300</v>
      </c>
      <c r="M23" s="36">
        <f t="shared" si="1"/>
        <v>366.4390261945409</v>
      </c>
      <c r="N23" s="39">
        <f t="shared" si="2"/>
        <v>364.84884173500086</v>
      </c>
      <c r="O23" s="60">
        <f t="shared" si="3"/>
        <v>142.23999999999998</v>
      </c>
      <c r="P23" s="62">
        <f t="shared" si="4"/>
        <v>0.3202682411877697</v>
      </c>
    </row>
    <row r="24" spans="2:16" ht="12.75">
      <c r="B24" s="51">
        <v>0</v>
      </c>
      <c r="C24" s="68" t="s">
        <v>35</v>
      </c>
      <c r="D24" s="64">
        <v>13</v>
      </c>
      <c r="E24" s="67">
        <f t="shared" si="0"/>
        <v>330.2</v>
      </c>
      <c r="F24" s="67">
        <f t="shared" si="5"/>
        <v>118.44287952476401</v>
      </c>
      <c r="G24" s="58">
        <v>650</v>
      </c>
      <c r="H24" s="31">
        <f>((F24/2)^2)/F24*'Round Firebox'!$D$8</f>
        <v>20.7275039168337</v>
      </c>
      <c r="I24" s="13">
        <f t="shared" si="6"/>
        <v>405</v>
      </c>
      <c r="J24" s="16">
        <f>((F24/2)^2*((I24+273)/(G24+273)))/E24*'Round Firebox'!$D$8</f>
        <v>5.461436481273283</v>
      </c>
      <c r="K24" s="17">
        <f t="shared" si="7"/>
        <v>14.761218860358563</v>
      </c>
      <c r="L24" s="33">
        <f t="shared" si="8"/>
        <v>305</v>
      </c>
      <c r="M24" s="36">
        <f t="shared" si="1"/>
        <v>340.9479510196032</v>
      </c>
      <c r="N24" s="39">
        <f t="shared" si="2"/>
        <v>339.38410741916573</v>
      </c>
      <c r="O24" s="60">
        <f t="shared" si="3"/>
        <v>132.08</v>
      </c>
      <c r="P24" s="62">
        <f t="shared" si="4"/>
        <v>0.3391906094237636</v>
      </c>
    </row>
    <row r="25" spans="2:16" ht="12.75">
      <c r="B25" s="51">
        <v>0</v>
      </c>
      <c r="C25" s="68" t="s">
        <v>35</v>
      </c>
      <c r="D25" s="64">
        <v>12</v>
      </c>
      <c r="E25" s="67">
        <f t="shared" si="0"/>
        <v>304.79999999999995</v>
      </c>
      <c r="F25" s="67">
        <f t="shared" si="5"/>
        <v>112.88901754035588</v>
      </c>
      <c r="G25" s="58">
        <v>650</v>
      </c>
      <c r="H25" s="31">
        <f>((F25/2)^2)/F25*'Round Firebox'!$D$8</f>
        <v>19.75557806956228</v>
      </c>
      <c r="I25" s="13">
        <f t="shared" si="6"/>
        <v>410</v>
      </c>
      <c r="J25" s="16">
        <f>((F25/2)^2*((I25+273)/(G25+273)))/E25*'Round Firebox'!$D$8</f>
        <v>5.414339391916518</v>
      </c>
      <c r="K25" s="17">
        <f t="shared" si="7"/>
        <v>15.326506839730294</v>
      </c>
      <c r="L25" s="33">
        <f t="shared" si="8"/>
        <v>310</v>
      </c>
      <c r="M25" s="36">
        <f t="shared" si="1"/>
        <v>315.4428673890481</v>
      </c>
      <c r="N25" s="39">
        <f t="shared" si="2"/>
        <v>313.907163556935</v>
      </c>
      <c r="O25" s="60">
        <f t="shared" si="3"/>
        <v>121.91999999999999</v>
      </c>
      <c r="P25" s="62">
        <f t="shared" si="4"/>
        <v>0.3608439338520711</v>
      </c>
    </row>
    <row r="26" spans="2:16" ht="12.75">
      <c r="B26" s="51">
        <v>0</v>
      </c>
      <c r="C26" s="68" t="s">
        <v>35</v>
      </c>
      <c r="D26" s="64">
        <v>11.5</v>
      </c>
      <c r="E26" s="67">
        <f t="shared" si="0"/>
        <v>292.09999999999997</v>
      </c>
      <c r="F26" s="67">
        <f t="shared" si="5"/>
        <v>110.04280448470072</v>
      </c>
      <c r="G26" s="58">
        <v>650</v>
      </c>
      <c r="H26" s="31">
        <f>((F26/2)^2)/F26*'Round Firebox'!$D$8</f>
        <v>19.257490784822625</v>
      </c>
      <c r="I26" s="13">
        <f aca="true" t="shared" si="9" ref="I26:I37">(I25+2.5)</f>
        <v>412.5</v>
      </c>
      <c r="J26" s="16">
        <f>((F26/2)^2*((I26+273)/(G26+273)))/E26*'Round Firebox'!$D$8</f>
        <v>5.388098790197711</v>
      </c>
      <c r="K26" s="17">
        <f t="shared" si="7"/>
        <v>15.631213863242683</v>
      </c>
      <c r="L26" s="33">
        <f t="shared" si="8"/>
        <v>312.5</v>
      </c>
      <c r="M26" s="36">
        <f t="shared" si="1"/>
        <v>302.6844307632406</v>
      </c>
      <c r="N26" s="39">
        <f t="shared" si="2"/>
        <v>301.163561045367</v>
      </c>
      <c r="O26" s="60">
        <f t="shared" si="3"/>
        <v>116.83999999999999</v>
      </c>
      <c r="P26" s="62">
        <f t="shared" si="4"/>
        <v>0.3728953512866324</v>
      </c>
    </row>
    <row r="27" spans="2:16" ht="12.75">
      <c r="B27" s="51">
        <v>0</v>
      </c>
      <c r="C27" s="68" t="s">
        <v>35</v>
      </c>
      <c r="D27" s="64">
        <v>11</v>
      </c>
      <c r="E27" s="67">
        <f t="shared" si="0"/>
        <v>279.4</v>
      </c>
      <c r="F27" s="67">
        <f t="shared" si="5"/>
        <v>107.14664007698198</v>
      </c>
      <c r="G27" s="58">
        <v>650</v>
      </c>
      <c r="H27" s="31">
        <f>((F27/2)^2)/F27*'Round Firebox'!$D$8</f>
        <v>18.75066201347185</v>
      </c>
      <c r="I27" s="13">
        <f t="shared" si="9"/>
        <v>415</v>
      </c>
      <c r="J27" s="16">
        <f>((F27/2)^2*((I27+273)/(G27+273)))/E27*'Round Firebox'!$D$8</f>
        <v>5.359885323705856</v>
      </c>
      <c r="K27" s="17">
        <f t="shared" si="7"/>
        <v>15.952608899330746</v>
      </c>
      <c r="L27" s="33">
        <f t="shared" si="8"/>
        <v>315</v>
      </c>
      <c r="M27" s="36">
        <f t="shared" si="1"/>
        <v>289.92165810400166</v>
      </c>
      <c r="N27" s="39">
        <f t="shared" si="2"/>
        <v>288.41618902882544</v>
      </c>
      <c r="O27" s="60">
        <f t="shared" si="3"/>
        <v>111.75999999999999</v>
      </c>
      <c r="P27" s="62">
        <f t="shared" si="4"/>
        <v>0.3858971005309253</v>
      </c>
    </row>
    <row r="28" spans="2:16" ht="12.75">
      <c r="B28" s="51">
        <v>0</v>
      </c>
      <c r="C28" s="68" t="s">
        <v>35</v>
      </c>
      <c r="D28" s="64">
        <v>10.5</v>
      </c>
      <c r="E28" s="67">
        <f t="shared" si="0"/>
        <v>266.7</v>
      </c>
      <c r="F28" s="67">
        <f t="shared" si="5"/>
        <v>104.19731433553663</v>
      </c>
      <c r="G28" s="58">
        <v>650</v>
      </c>
      <c r="H28" s="31">
        <f>((F28/2)^2)/F28*'Round Firebox'!$D$8</f>
        <v>18.234530008718906</v>
      </c>
      <c r="I28" s="13">
        <f t="shared" si="9"/>
        <v>417.5</v>
      </c>
      <c r="J28" s="16">
        <f>((F28/2)^2*((I28+273)/(G28+273)))/E28*'Round Firebox'!$D$8</f>
        <v>5.3295441639630985</v>
      </c>
      <c r="K28" s="17">
        <f t="shared" si="7"/>
        <v>16.292457544483252</v>
      </c>
      <c r="L28" s="33">
        <f t="shared" si="8"/>
        <v>317.5</v>
      </c>
      <c r="M28" s="36">
        <f t="shared" si="1"/>
        <v>277.1541948340595</v>
      </c>
      <c r="N28" s="39">
        <f t="shared" si="2"/>
        <v>275.6647429526445</v>
      </c>
      <c r="O28" s="60">
        <f t="shared" si="3"/>
        <v>106.68</v>
      </c>
      <c r="P28" s="62">
        <f t="shared" si="4"/>
        <v>0.39997150516102975</v>
      </c>
    </row>
    <row r="29" spans="2:16" ht="12.75">
      <c r="B29" s="51">
        <v>0</v>
      </c>
      <c r="C29" s="68" t="s">
        <v>35</v>
      </c>
      <c r="D29" s="64">
        <v>10</v>
      </c>
      <c r="E29" s="67">
        <f t="shared" si="0"/>
        <v>254</v>
      </c>
      <c r="F29" s="67">
        <f t="shared" si="5"/>
        <v>101.19124652809217</v>
      </c>
      <c r="G29" s="58">
        <v>650</v>
      </c>
      <c r="H29" s="31">
        <f>((F29/2)^2)/F29*'Round Firebox'!$D$8</f>
        <v>17.708468142416127</v>
      </c>
      <c r="I29" s="13">
        <f t="shared" si="9"/>
        <v>420</v>
      </c>
      <c r="J29" s="16">
        <f>((F29/2)^2*((I29+273)/(G29+273)))/E29*'Round Firebox'!$D$8</f>
        <v>5.296899796307099</v>
      </c>
      <c r="K29" s="17">
        <f t="shared" si="7"/>
        <v>16.652806039204794</v>
      </c>
      <c r="L29" s="33">
        <f t="shared" si="8"/>
        <v>320</v>
      </c>
      <c r="M29" s="36">
        <f t="shared" si="1"/>
        <v>264.3816373976226</v>
      </c>
      <c r="N29" s="39">
        <f t="shared" si="2"/>
        <v>262.9088764070515</v>
      </c>
      <c r="O29" s="60">
        <f t="shared" si="3"/>
        <v>101.60000000000001</v>
      </c>
      <c r="P29" s="62">
        <f t="shared" si="4"/>
        <v>0.41526334379202323</v>
      </c>
    </row>
    <row r="30" spans="2:16" ht="12.75">
      <c r="B30" s="51">
        <v>0</v>
      </c>
      <c r="C30" s="68" t="s">
        <v>35</v>
      </c>
      <c r="D30" s="64">
        <v>9.5</v>
      </c>
      <c r="E30" s="67">
        <f t="shared" si="0"/>
        <v>241.29999999999998</v>
      </c>
      <c r="F30" s="67">
        <f t="shared" si="5"/>
        <v>98.12442141934169</v>
      </c>
      <c r="G30" s="58">
        <v>650</v>
      </c>
      <c r="H30" s="31">
        <f>((F30/2)^2)/F30*'Round Firebox'!$D$8</f>
        <v>17.171773748384794</v>
      </c>
      <c r="I30" s="13">
        <f t="shared" si="9"/>
        <v>422.5</v>
      </c>
      <c r="J30" s="16">
        <f>((F30/2)^2*((I30+273)/(G30+273)))/E30*'Round Firebox'!$D$8</f>
        <v>5.261752039336181</v>
      </c>
      <c r="K30" s="17">
        <f t="shared" si="7"/>
        <v>17.03604222740577</v>
      </c>
      <c r="L30" s="33">
        <f t="shared" si="8"/>
        <v>322.5</v>
      </c>
      <c r="M30" s="36">
        <f t="shared" si="1"/>
        <v>251.60352356111247</v>
      </c>
      <c r="N30" s="39">
        <f t="shared" si="2"/>
        <v>250.1481928634089</v>
      </c>
      <c r="O30" s="60">
        <f t="shared" si="3"/>
        <v>96.52</v>
      </c>
      <c r="P30" s="62">
        <f t="shared" si="4"/>
        <v>0.43194533291290127</v>
      </c>
    </row>
    <row r="31" spans="2:16" ht="12.75">
      <c r="B31" s="51">
        <v>0</v>
      </c>
      <c r="C31" s="68" t="s">
        <v>35</v>
      </c>
      <c r="D31" s="64">
        <v>9</v>
      </c>
      <c r="E31" s="67">
        <f t="shared" si="0"/>
        <v>228.6</v>
      </c>
      <c r="F31" s="67">
        <f t="shared" si="5"/>
        <v>94.9923105703264</v>
      </c>
      <c r="G31" s="58">
        <v>650</v>
      </c>
      <c r="H31" s="31">
        <f>((F31/2)^2)/F31*'Round Firebox'!$D$8</f>
        <v>16.62365434980712</v>
      </c>
      <c r="I31" s="13">
        <f t="shared" si="9"/>
        <v>425</v>
      </c>
      <c r="J31" s="16">
        <f>((F31/2)^2*((I31+273)/(G31+273)))/E31*'Round Firebox'!$D$8</f>
        <v>5.223871040806222</v>
      </c>
      <c r="K31" s="17">
        <f t="shared" si="7"/>
        <v>17.444973686651927</v>
      </c>
      <c r="L31" s="33">
        <f t="shared" si="8"/>
        <v>325</v>
      </c>
      <c r="M31" s="36">
        <f t="shared" si="1"/>
        <v>238.81932015587267</v>
      </c>
      <c r="N31" s="39">
        <f t="shared" si="2"/>
        <v>237.38223523519136</v>
      </c>
      <c r="O31" s="60">
        <f t="shared" si="3"/>
        <v>91.44</v>
      </c>
      <c r="P31" s="62">
        <f t="shared" si="4"/>
        <v>0.45022531730277715</v>
      </c>
    </row>
    <row r="32" spans="2:16" ht="12.75">
      <c r="B32" s="51">
        <v>0</v>
      </c>
      <c r="C32" s="68" t="s">
        <v>35</v>
      </c>
      <c r="D32" s="64">
        <v>8.5</v>
      </c>
      <c r="E32" s="67">
        <f t="shared" si="0"/>
        <v>215.89999999999998</v>
      </c>
      <c r="F32" s="67">
        <f t="shared" si="5"/>
        <v>91.78977414406717</v>
      </c>
      <c r="G32" s="58">
        <v>650</v>
      </c>
      <c r="H32" s="31">
        <f>((F32/2)^2)/F32*'Round Firebox'!$D$8</f>
        <v>16.06321047521175</v>
      </c>
      <c r="I32" s="13">
        <f t="shared" si="9"/>
        <v>427.5</v>
      </c>
      <c r="J32" s="16">
        <f>((F32/2)^2*((I32+273)/(G32+273)))/E32*'Round Firebox'!$D$8</f>
        <v>5.18299091316495</v>
      </c>
      <c r="K32" s="17">
        <f t="shared" si="7"/>
        <v>17.88292909869066</v>
      </c>
      <c r="L32" s="33">
        <f t="shared" si="8"/>
        <v>327.5</v>
      </c>
      <c r="M32" s="36">
        <f t="shared" si="1"/>
        <v>226.02840740183356</v>
      </c>
      <c r="N32" s="39">
        <f t="shared" si="2"/>
        <v>224.6104725323893</v>
      </c>
      <c r="O32" s="60">
        <f t="shared" si="3"/>
        <v>86.36</v>
      </c>
      <c r="P32" s="62">
        <f t="shared" si="4"/>
        <v>0.47035582807157517</v>
      </c>
    </row>
    <row r="33" spans="2:16" ht="12.75">
      <c r="B33" s="51">
        <v>0</v>
      </c>
      <c r="C33" s="68" t="s">
        <v>35</v>
      </c>
      <c r="D33" s="64">
        <v>8</v>
      </c>
      <c r="E33" s="67">
        <f t="shared" si="0"/>
        <v>203.2</v>
      </c>
      <c r="F33" s="67">
        <f t="shared" si="5"/>
        <v>88.51093693508831</v>
      </c>
      <c r="G33" s="58">
        <v>650</v>
      </c>
      <c r="H33" s="31">
        <f>((F33/2)^2)/F33*'Round Firebox'!$D$8</f>
        <v>15.489413963640454</v>
      </c>
      <c r="I33" s="13">
        <f t="shared" si="9"/>
        <v>430</v>
      </c>
      <c r="J33" s="16">
        <f>((F33/2)^2*((I33+273)/(G33+273)))/E33*'Round Firebox'!$D$8</f>
        <v>5.138801533937879</v>
      </c>
      <c r="K33" s="17">
        <f t="shared" si="7"/>
        <v>18.353891563500124</v>
      </c>
      <c r="L33" s="33">
        <f t="shared" si="8"/>
        <v>330</v>
      </c>
      <c r="M33" s="36">
        <f t="shared" si="1"/>
        <v>213.2300585911487</v>
      </c>
      <c r="N33" s="39">
        <f t="shared" si="2"/>
        <v>211.83228257249567</v>
      </c>
      <c r="O33" s="60">
        <f t="shared" si="3"/>
        <v>81.28</v>
      </c>
      <c r="P33" s="62">
        <f t="shared" si="4"/>
        <v>0.4926469791798122</v>
      </c>
    </row>
    <row r="34" spans="2:16" ht="12.75">
      <c r="B34" s="51">
        <v>0</v>
      </c>
      <c r="C34" s="68" t="s">
        <v>35</v>
      </c>
      <c r="D34" s="64">
        <v>7.5</v>
      </c>
      <c r="E34" s="67">
        <f t="shared" si="0"/>
        <v>190.5</v>
      </c>
      <c r="F34" s="67">
        <f t="shared" si="5"/>
        <v>85.1490297872309</v>
      </c>
      <c r="G34" s="58">
        <v>650</v>
      </c>
      <c r="H34" s="31">
        <f>((F34/2)^2)/F34*'Round Firebox'!$D$8</f>
        <v>14.901080212765407</v>
      </c>
      <c r="I34" s="13">
        <f t="shared" si="9"/>
        <v>432.5</v>
      </c>
      <c r="J34" s="16">
        <f>((F34/2)^2*((I34+273)/(G34+273)))/E34*'Round Firebox'!$D$8</f>
        <v>5.090937829143343</v>
      </c>
      <c r="K34" s="17">
        <f t="shared" si="7"/>
        <v>18.86267657617887</v>
      </c>
      <c r="L34" s="33">
        <f t="shared" si="8"/>
        <v>332.5</v>
      </c>
      <c r="M34" s="36">
        <f t="shared" si="1"/>
        <v>200.423413367319</v>
      </c>
      <c r="N34" s="39">
        <f t="shared" si="2"/>
        <v>199.04692924995342</v>
      </c>
      <c r="O34" s="60">
        <f t="shared" si="3"/>
        <v>76.2</v>
      </c>
      <c r="P34" s="62">
        <f t="shared" si="4"/>
        <v>0.5174841601243181</v>
      </c>
    </row>
    <row r="35" spans="2:16" ht="12.75">
      <c r="B35" s="51">
        <v>0</v>
      </c>
      <c r="C35" s="68" t="s">
        <v>35</v>
      </c>
      <c r="D35" s="64">
        <v>7</v>
      </c>
      <c r="E35" s="67">
        <f t="shared" si="0"/>
        <v>177.79999999999998</v>
      </c>
      <c r="F35" s="67">
        <f t="shared" si="5"/>
        <v>81.69618372895603</v>
      </c>
      <c r="G35" s="58">
        <v>650</v>
      </c>
      <c r="H35" s="31">
        <f>((F35/2)^2)/F35*'Round Firebox'!$D$8</f>
        <v>14.296832152567305</v>
      </c>
      <c r="I35" s="13">
        <f t="shared" si="9"/>
        <v>435</v>
      </c>
      <c r="J35" s="16">
        <f>((F35/2)^2*((I35+273)/(G35+273)))/E35*'Round Firebox'!$D$8</f>
        <v>5.038965540090664</v>
      </c>
      <c r="K35" s="17">
        <f t="shared" si="7"/>
        <v>19.415173652606327</v>
      </c>
      <c r="L35" s="33">
        <f t="shared" si="8"/>
        <v>335</v>
      </c>
      <c r="M35" s="36">
        <f t="shared" si="1"/>
        <v>187.60744199554685</v>
      </c>
      <c r="N35" s="39">
        <f t="shared" si="2"/>
        <v>186.25353215322983</v>
      </c>
      <c r="O35" s="60">
        <f t="shared" si="3"/>
        <v>71.11999999999999</v>
      </c>
      <c r="P35" s="62">
        <f t="shared" si="4"/>
        <v>0.545352764180041</v>
      </c>
    </row>
    <row r="36" spans="2:16" ht="12.75">
      <c r="B36" s="51">
        <v>0</v>
      </c>
      <c r="C36" s="68" t="s">
        <v>35</v>
      </c>
      <c r="D36" s="64">
        <v>6.5</v>
      </c>
      <c r="E36" s="67">
        <f t="shared" si="0"/>
        <v>165.1</v>
      </c>
      <c r="F36" s="67">
        <f t="shared" si="5"/>
        <v>78.14315825382349</v>
      </c>
      <c r="G36" s="58">
        <v>650</v>
      </c>
      <c r="H36" s="31">
        <f>((F36/2)^2)/F36*'Round Firebox'!$D$8</f>
        <v>13.67505269441911</v>
      </c>
      <c r="I36" s="13">
        <f t="shared" si="9"/>
        <v>437.5</v>
      </c>
      <c r="J36" s="16">
        <f>((F36/2)^2*((I36+273)/(G36+273)))/E36*'Round Firebox'!$D$8</f>
        <v>4.982361973420789</v>
      </c>
      <c r="K36" s="17">
        <f t="shared" si="7"/>
        <v>20.018680623765288</v>
      </c>
      <c r="L36" s="33">
        <f t="shared" si="8"/>
        <v>337.5</v>
      </c>
      <c r="M36" s="36">
        <f t="shared" si="1"/>
        <v>174.78089668853139</v>
      </c>
      <c r="N36" s="39">
        <f t="shared" si="2"/>
        <v>173.45102518860668</v>
      </c>
      <c r="O36" s="60">
        <f t="shared" si="3"/>
        <v>66.04</v>
      </c>
      <c r="P36" s="62">
        <f t="shared" si="4"/>
        <v>0.5768734821409719</v>
      </c>
    </row>
    <row r="37" spans="2:16" ht="12.75">
      <c r="B37" s="52">
        <v>0</v>
      </c>
      <c r="C37" s="65" t="s">
        <v>35</v>
      </c>
      <c r="D37" s="87">
        <v>6</v>
      </c>
      <c r="E37" s="88">
        <f t="shared" si="0"/>
        <v>152.39999999999998</v>
      </c>
      <c r="F37" s="119">
        <f t="shared" si="5"/>
        <v>74.47897584193979</v>
      </c>
      <c r="G37" s="59">
        <v>650</v>
      </c>
      <c r="H37" s="32">
        <f>((F37/2)^2)/F37*'Round Firebox'!$D$8</f>
        <v>13.033820772339462</v>
      </c>
      <c r="I37" s="14">
        <f t="shared" si="9"/>
        <v>440</v>
      </c>
      <c r="J37" s="34">
        <f>((F37/2)^2*((I37+273)/(G37+273)))/E37*'Round Firebox'!$D$8</f>
        <v>4.920489423066095</v>
      </c>
      <c r="K37" s="35">
        <f t="shared" si="7"/>
        <v>20.68237615889684</v>
      </c>
      <c r="L37" s="30">
        <f t="shared" si="8"/>
        <v>340</v>
      </c>
      <c r="M37" s="37">
        <f t="shared" si="1"/>
        <v>161.94224387818358</v>
      </c>
      <c r="N37" s="48">
        <f t="shared" si="2"/>
        <v>160.63809902476345</v>
      </c>
      <c r="O37" s="61">
        <f t="shared" si="3"/>
        <v>60.959999999999994</v>
      </c>
      <c r="P37" s="63">
        <f t="shared" si="4"/>
        <v>0.6128538900477447</v>
      </c>
    </row>
    <row r="38" spans="2:11" ht="5.25" customHeight="1"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2:11" ht="12.75">
      <c r="B39" t="s">
        <v>63</v>
      </c>
      <c r="C39" s="7"/>
      <c r="D39" s="7"/>
      <c r="E39" s="7"/>
      <c r="F39" s="7"/>
      <c r="G39" s="7"/>
      <c r="H39" s="7"/>
      <c r="I39" s="7"/>
      <c r="J39" s="7"/>
      <c r="K39" s="7"/>
    </row>
    <row r="40" spans="2:11" ht="12.75">
      <c r="B40" t="s">
        <v>64</v>
      </c>
      <c r="C40" s="7"/>
      <c r="D40" s="7"/>
      <c r="E40" s="7"/>
      <c r="F40" s="7"/>
      <c r="G40" s="7"/>
      <c r="H40" s="7"/>
      <c r="I40" s="7"/>
      <c r="J40" s="7"/>
      <c r="K40" s="7"/>
    </row>
    <row r="41" spans="2:11" ht="12.75">
      <c r="B41" t="s">
        <v>65</v>
      </c>
      <c r="C41" s="7"/>
      <c r="D41" s="7"/>
      <c r="E41" s="7"/>
      <c r="F41" s="7"/>
      <c r="G41" s="7"/>
      <c r="H41" s="7"/>
      <c r="I41" s="7"/>
      <c r="J41" s="7"/>
      <c r="K41" s="7"/>
    </row>
    <row r="42" ht="12.75">
      <c r="B42" t="s">
        <v>66</v>
      </c>
    </row>
    <row r="43" ht="5.25" customHeight="1"/>
    <row r="44" ht="12.75">
      <c r="B44" t="s">
        <v>40</v>
      </c>
    </row>
  </sheetData>
  <sheetProtection password="CE28" sheet="1" objects="1" scenarios="1"/>
  <printOptions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Crispin Pemberton-Pigott</cp:lastModifiedBy>
  <dcterms:modified xsi:type="dcterms:W3CDTF">2006-03-19T00:58:18Z</dcterms:modified>
  <cp:category/>
  <cp:version/>
  <cp:contentType/>
  <cp:contentStatus/>
</cp:coreProperties>
</file>